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activeTab="0"/>
  </bookViews>
  <sheets>
    <sheet name="Budget" sheetId="1" r:id="rId1"/>
    <sheet name="Hypothèses" sheetId="2" r:id="rId2"/>
    <sheet name="Budget vs réel" sheetId="3" r:id="rId3"/>
    <sheet name="Utilisation" sheetId="4" r:id="rId4"/>
  </sheets>
  <calcPr calcId="191029" fullCalcOnLoad="1"/>
</workbook>
</file>

<file path=xl/styles.xml><?xml version="1.0" encoding="utf-8"?>
<styleSheet xmlns="http://schemas.openxmlformats.org/spreadsheetml/2006/main">
  <numFmts count="2">
    <numFmt numFmtId="164" formatCode="#,##0"/>
    <numFmt numFmtId="165" formatCode="0.0%"/>
  </numFmts>
  <fonts count="6">
    <font>
      <sz val="11"/>
      <color rgb="FF0A0A0A"/>
      <name val="Calibri"/>
      <family val="2"/>
    </font>
    <font>
      <b/>
      <sz val="11"/>
      <color rgb="FFFFFFFF"/>
      <name val="Calibri"/>
      <family val="2"/>
    </font>
    <font>
      <b/>
      <sz val="11"/>
      <color rgb="FF0A0A0A"/>
      <name val="Calibri"/>
      <family val="2"/>
    </font>
    <font>
      <b/>
      <sz val="16"/>
      <color rgb="FF1643E0"/>
      <name val="Calibri"/>
      <family val="2"/>
    </font>
    <font>
      <sz val="11"/>
      <color rgb="FF606576"/>
      <name val="Calibri"/>
      <family val="2"/>
    </font>
    <font>
      <b/>
      <sz val="11"/>
      <color rgb="FF1643E0"/>
      <name val="Calibri"/>
      <family val="2"/>
    </font>
  </fonts>
  <fills count="4">
    <fill>
      <patternFill patternType="none"/>
    </fill>
    <fill>
      <patternFill patternType="gray125"/>
    </fill>
    <fill>
      <patternFill patternType="solid">
        <fgColor rgb="FF1643E0"/>
        <bgColor indexed="64"/>
      </patternFill>
    </fill>
    <fill>
      <patternFill patternType="solid">
        <fgColor rgb="FFFFF3C4"/>
        <bgColor indexed="64"/>
      </patternFill>
    </fill>
  </fills>
  <borders count="3">
    <border>
      <left/>
      <right/>
      <top/>
      <bottom/>
      <diagonal/>
    </border>
    <border>
      <left/>
      <right/>
      <top style="thin">
        <color rgb="FF0A0A0A"/>
      </top>
      <bottom/>
      <diagonal/>
    </border>
    <border>
      <left/>
      <right/>
      <top/>
      <bottom style="thin">
        <color rgb="FF1643E0"/>
      </bottom>
      <diagonal/>
    </border>
  </borders>
  <cellStyleXfs count="1">
    <xf numFmtId="0" fontId="0" fillId="0" borderId="0"/>
  </cellStyleXfs>
  <cellXfs count="17">
    <xf numFmtId="0" fontId="0" fillId="0" borderId="0" xfId="0"/>
    <xf numFmtId="0" fontId="1" fillId="2" borderId="0" xfId="0" applyFont="1" applyFill="1" applyAlignment="1">
      <alignment vertical="center"/>
    </xf>
    <xf numFmtId="0" fontId="0" fillId="0" borderId="0" xfId="0" applyAlignment="1">
      <alignment vertical="top" wrapText="1"/>
    </xf>
    <xf numFmtId="0" fontId="2" fillId="0" borderId="0" xfId="0" applyFont="1"/>
    <xf numFmtId="0" fontId="3" fillId="0" borderId="0" xfId="0" applyFont="1"/>
    <xf numFmtId="0" fontId="4" fillId="0" borderId="0" xfId="0" applyFont="1"/>
    <xf numFmtId="164" fontId="0" fillId="0" borderId="0" xfId="0" applyNumberFormat="1"/>
    <xf numFmtId="164" fontId="0" fillId="3" borderId="0" xfId="0" applyNumberFormat="1" applyFill="1"/>
    <xf numFmtId="165" fontId="0" fillId="0" borderId="0" xfId="0" applyNumberFormat="1"/>
    <xf numFmtId="165" fontId="0" fillId="3" borderId="0" xfId="0" applyNumberFormat="1" applyFill="1"/>
    <xf numFmtId="164" fontId="2" fillId="0" borderId="1" xfId="0" applyNumberFormat="1" applyFont="1" applyBorder="1"/>
    <xf numFmtId="0" fontId="5" fillId="0" borderId="2" xfId="0" applyFont="1" applyBorder="1" applyAlignment="1">
      <alignment vertical="bottom"/>
    </xf>
    <xf numFmtId="4" fontId="0" fillId="3" borderId="0" xfId="0" applyNumberFormat="1" applyFill="1"/>
    <xf numFmtId="4" fontId="0" fillId="0" borderId="0" xfId="0" applyNumberFormat="1"/>
    <xf numFmtId="165" fontId="2" fillId="0" borderId="1" xfId="0" applyNumberFormat="1" applyFont="1" applyBorder="1"/>
    <xf numFmtId="164" fontId="4" fillId="0" borderId="0" xfId="0" applyNumberFormat="1" applyFont="1"/>
    <xf numFmtId="164" fontId="0" fillId="3" borderId="0" xfId="0" applyNumberFormat="1" applyFill="1"/>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sheetViews>
    <sheetView workbookViewId="0" tabSelected="1" showGridLines="0">
      <pane xSplit="1" ySplit="4" topLeftCell="B5" activePane="bottomRight" state="frozen"/>
    </sheetView>
  </sheetViews>
  <sheetFormatPr defaultRowHeight="15"/>
  <cols>
    <col min="1" max="1" width="40" customWidth="1"/>
    <col min="2" max="2" width="11" customWidth="1"/>
    <col min="3" max="3" width="11" customWidth="1"/>
    <col min="4" max="4" width="11" customWidth="1"/>
    <col min="5" max="5" width="11" customWidth="1"/>
    <col min="6" max="6" width="11" customWidth="1"/>
    <col min="7" max="7" width="11" customWidth="1"/>
    <col min="8" max="8" width="11" customWidth="1"/>
    <col min="9" max="9" width="11" customWidth="1"/>
    <col min="10" max="10" width="11" customWidth="1"/>
    <col min="11" max="11" width="11" customWidth="1"/>
    <col min="12" max="12" width="11" customWidth="1"/>
    <col min="13" max="13" width="11" customWidth="1"/>
    <col min="14" max="14" width="13" customWidth="1"/>
    <col min="15" max="15" width="11" customWidth="1"/>
  </cols>
  <sheetData>
    <row r="1" ht="24" customHeight="1">
      <c r="A1" s="4" t="inlineStr">
        <is>
          <t xml:space="preserve">Budget prévisionnel de restaurant</t>
        </is>
      </c>
    </row>
    <row r="2">
      <c r="A2" s="5" t="inlineStr">
        <is>
          <t xml:space="preserve">Les cellules jaunes sont à remplir. Tout le reste se calcule.</t>
        </is>
      </c>
    </row>
    <row r="4">
      <c r="A4" s="1" t="inlineStr">
        <is>
          <t xml:space="preserve">Poste</t>
        </is>
      </c>
      <c r="B4" s="1" t="inlineStr">
        <is>
          <t xml:space="preserve">Janv.</t>
        </is>
      </c>
      <c r="C4" s="1" t="inlineStr">
        <is>
          <t xml:space="preserve">Févr.</t>
        </is>
      </c>
      <c r="D4" s="1" t="inlineStr">
        <is>
          <t xml:space="preserve">Mars</t>
        </is>
      </c>
      <c r="E4" s="1" t="inlineStr">
        <is>
          <t xml:space="preserve">Avr.</t>
        </is>
      </c>
      <c r="F4" s="1" t="inlineStr">
        <is>
          <t xml:space="preserve">Mai</t>
        </is>
      </c>
      <c r="G4" s="1" t="inlineStr">
        <is>
          <t xml:space="preserve">Juin</t>
        </is>
      </c>
      <c r="H4" s="1" t="inlineStr">
        <is>
          <t xml:space="preserve">Juil.</t>
        </is>
      </c>
      <c r="I4" s="1" t="inlineStr">
        <is>
          <t xml:space="preserve">Août</t>
        </is>
      </c>
      <c r="J4" s="1" t="inlineStr">
        <is>
          <t xml:space="preserve">Sept.</t>
        </is>
      </c>
      <c r="K4" s="1" t="inlineStr">
        <is>
          <t xml:space="preserve">Oct.</t>
        </is>
      </c>
      <c r="L4" s="1" t="inlineStr">
        <is>
          <t xml:space="preserve">Nov.</t>
        </is>
      </c>
      <c r="M4" s="1" t="inlineStr">
        <is>
          <t xml:space="preserve">Déc.</t>
        </is>
      </c>
      <c r="N4" s="1" t="inlineStr">
        <is>
          <t xml:space="preserve">Année</t>
        </is>
      </c>
      <c r="O4" s="1" t="inlineStr">
        <is>
          <t xml:space="preserve">% du CA</t>
        </is>
      </c>
    </row>
    <row r="5">
      <c r="A5" t="inlineStr">
        <is>
          <t xml:space="preserve">Couverts</t>
        </is>
      </c>
      <c r="B5" s="15">
        <f>'Hypothèses'!B5*'Hypothèses'!B6</f>
        <v>1820</v>
      </c>
      <c r="C5" s="15">
        <f>'Hypothèses'!C5*'Hypothèses'!C6</f>
        <v>1776</v>
      </c>
      <c r="D5" s="15">
        <f>'Hypothèses'!D5*'Hypothèses'!D6</f>
        <v>2214</v>
      </c>
      <c r="E5" s="15">
        <f>'Hypothèses'!E5*'Hypothèses'!E6</f>
        <v>2288</v>
      </c>
      <c r="F5" s="15">
        <f>'Hypothèses'!F5*'Hypothèses'!F6</f>
        <v>2565</v>
      </c>
      <c r="G5" s="15">
        <f>'Hypothèses'!G5*'Hypothèses'!G6</f>
        <v>2548</v>
      </c>
      <c r="H5" s="15">
        <f>'Hypothèses'!H5*'Hypothèses'!H6</f>
        <v>2808</v>
      </c>
      <c r="I5" s="15">
        <f>'Hypothèses'!I5*'Hypothèses'!I6</f>
        <v>2754</v>
      </c>
      <c r="J5" s="15">
        <f>'Hypothèses'!J5*'Hypothèses'!J6</f>
        <v>2392</v>
      </c>
      <c r="K5" s="15">
        <f>'Hypothèses'!K5*'Hypothèses'!K6</f>
        <v>2322</v>
      </c>
      <c r="L5" s="15">
        <f>'Hypothèses'!L5*'Hypothèses'!L6</f>
        <v>2080</v>
      </c>
      <c r="M5" s="15">
        <f>'Hypothèses'!M5*'Hypothèses'!M6</f>
        <v>2800</v>
      </c>
      <c r="N5" s="15">
        <f>SUM(B5:M5)</f>
        <v>28367</v>
      </c>
    </row>
    <row r="6" ht="20" customHeight="1">
      <c r="A6" s="11" t="inlineStr">
        <is>
          <t xml:space="preserve">Ventes</t>
        </is>
      </c>
    </row>
    <row r="7">
      <c r="A7" t="inlineStr">
        <is>
          <t xml:space="preserve">Ventes cuisine</t>
        </is>
      </c>
      <c r="B7" s="6">
        <f>'Hypothèses'!B5*'Hypothèses'!B6*'Hypothèses'!B7</f>
        <v>40040</v>
      </c>
      <c r="C7" s="6">
        <f>'Hypothèses'!C5*'Hypothèses'!C6*'Hypothèses'!C7</f>
        <v>39072</v>
      </c>
      <c r="D7" s="6">
        <f>'Hypothèses'!D5*'Hypothèses'!D6*'Hypothèses'!D7</f>
        <v>48708</v>
      </c>
      <c r="E7" s="6">
        <f>'Hypothèses'!E5*'Hypothèses'!E6*'Hypothèses'!E7</f>
        <v>50336</v>
      </c>
      <c r="F7" s="6">
        <f>'Hypothèses'!F5*'Hypothèses'!F6*'Hypothèses'!F7</f>
        <v>56430</v>
      </c>
      <c r="G7" s="6">
        <f>'Hypothèses'!G5*'Hypothèses'!G6*'Hypothèses'!G7</f>
        <v>56056</v>
      </c>
      <c r="H7" s="6">
        <f>'Hypothèses'!H5*'Hypothèses'!H6*'Hypothèses'!H7</f>
        <v>61776</v>
      </c>
      <c r="I7" s="6">
        <f>'Hypothèses'!I5*'Hypothèses'!I6*'Hypothèses'!I7</f>
        <v>60588</v>
      </c>
      <c r="J7" s="6">
        <f>'Hypothèses'!J5*'Hypothèses'!J6*'Hypothèses'!J7</f>
        <v>55016</v>
      </c>
      <c r="K7" s="6">
        <f>'Hypothèses'!K5*'Hypothèses'!K6*'Hypothèses'!K7</f>
        <v>53406</v>
      </c>
      <c r="L7" s="6">
        <f>'Hypothèses'!L5*'Hypothèses'!L6*'Hypothèses'!L7</f>
        <v>47840</v>
      </c>
      <c r="M7" s="6">
        <f>'Hypothèses'!M5*'Hypothèses'!M6*'Hypothèses'!M7</f>
        <v>67200</v>
      </c>
      <c r="N7" s="6">
        <f>SUM(B7:M7)</f>
        <v>636468</v>
      </c>
      <c r="O7" s="8">
        <f>IFERROR(N7/N10,0)</f>
        <v>0.703968</v>
      </c>
    </row>
    <row r="8">
      <c r="A8" t="inlineStr">
        <is>
          <t xml:space="preserve">Ventes boissons</t>
        </is>
      </c>
      <c r="B8" s="6">
        <f>'Hypothèses'!B5*'Hypothèses'!B6*'Hypothèses'!B8</f>
        <v>14560</v>
      </c>
      <c r="C8" s="6">
        <f>'Hypothèses'!C5*'Hypothèses'!C6*'Hypothèses'!C8</f>
        <v>14208</v>
      </c>
      <c r="D8" s="6">
        <f>'Hypothèses'!D5*'Hypothèses'!D6*'Hypothèses'!D8</f>
        <v>17712</v>
      </c>
      <c r="E8" s="6">
        <f>'Hypothèses'!E5*'Hypothèses'!E6*'Hypothèses'!E8</f>
        <v>19448</v>
      </c>
      <c r="F8" s="6">
        <f>'Hypothèses'!F5*'Hypothèses'!F6*'Hypothèses'!F8</f>
        <v>21802.5</v>
      </c>
      <c r="G8" s="6">
        <f>'Hypothèses'!G5*'Hypothèses'!G6*'Hypothèses'!G8</f>
        <v>22932</v>
      </c>
      <c r="H8" s="6">
        <f>'Hypothèses'!H5*'Hypothèses'!H6*'Hypothèses'!H8</f>
        <v>26676</v>
      </c>
      <c r="I8" s="6">
        <f>'Hypothèses'!I5*'Hypothèses'!I6*'Hypothèses'!I8</f>
        <v>26163</v>
      </c>
      <c r="J8" s="6">
        <f>'Hypothèses'!J5*'Hypothèses'!J6*'Hypothèses'!J8</f>
        <v>21528</v>
      </c>
      <c r="K8" s="6">
        <f>'Hypothèses'!K5*'Hypothèses'!K6*'Hypothèses'!K8</f>
        <v>19737</v>
      </c>
      <c r="L8" s="6">
        <f>'Hypothèses'!L5*'Hypothèses'!L6*'Hypothèses'!L8</f>
        <v>17680</v>
      </c>
      <c r="M8" s="6">
        <f>'Hypothèses'!M5*'Hypothèses'!M6*'Hypothèses'!M8</f>
        <v>30800</v>
      </c>
      <c r="N8" s="6">
        <f>SUM(B8:M8)</f>
        <v>253246.5</v>
      </c>
      <c r="O8" s="8">
        <f>IFERROR(N8/N10,0)</f>
        <v>0.280104</v>
      </c>
    </row>
    <row r="9">
      <c r="A9" t="inlineStr">
        <is>
          <t xml:space="preserve">Autres ventes (événements, boutique)</t>
        </is>
      </c>
      <c r="B9" s="6">
        <f>'Hypothèses'!B9</f>
        <v>0</v>
      </c>
      <c r="C9" s="6">
        <f>'Hypothèses'!C9</f>
        <v>600</v>
      </c>
      <c r="D9" s="6">
        <f>'Hypothèses'!D9</f>
        <v>0</v>
      </c>
      <c r="E9" s="6">
        <f>'Hypothèses'!E9</f>
        <v>800</v>
      </c>
      <c r="F9" s="6">
        <f>'Hypothèses'!F9</f>
        <v>1200</v>
      </c>
      <c r="G9" s="6">
        <f>'Hypothèses'!G9</f>
        <v>1500</v>
      </c>
      <c r="H9" s="6">
        <f>'Hypothèses'!H9</f>
        <v>1500</v>
      </c>
      <c r="I9" s="6">
        <f>'Hypothèses'!I9</f>
        <v>800</v>
      </c>
      <c r="J9" s="6">
        <f>'Hypothèses'!J9</f>
        <v>1200</v>
      </c>
      <c r="K9" s="6">
        <f>'Hypothèses'!K9</f>
        <v>800</v>
      </c>
      <c r="L9" s="6">
        <f>'Hypothèses'!L9</f>
        <v>1500</v>
      </c>
      <c r="M9" s="6">
        <f>'Hypothèses'!M9</f>
        <v>4500</v>
      </c>
      <c r="N9" s="6">
        <f>SUM(B9:M9)</f>
        <v>14400</v>
      </c>
      <c r="O9" s="8">
        <f>IFERROR(N9/N10,0)</f>
        <v>0.015927</v>
      </c>
    </row>
    <row r="10">
      <c r="A10" s="3" t="inlineStr">
        <is>
          <t xml:space="preserve">Chiffre d’affaires total</t>
        </is>
      </c>
      <c r="B10" s="10">
        <f>SUM(B7:B9)</f>
        <v>54600</v>
      </c>
      <c r="C10" s="10">
        <f>SUM(C7:C9)</f>
        <v>53880</v>
      </c>
      <c r="D10" s="10">
        <f>SUM(D7:D9)</f>
        <v>66420</v>
      </c>
      <c r="E10" s="10">
        <f>SUM(E7:E9)</f>
        <v>70584</v>
      </c>
      <c r="F10" s="10">
        <f>SUM(F7:F9)</f>
        <v>79432.5</v>
      </c>
      <c r="G10" s="10">
        <f>SUM(G7:G9)</f>
        <v>80488</v>
      </c>
      <c r="H10" s="10">
        <f>SUM(H7:H9)</f>
        <v>89952</v>
      </c>
      <c r="I10" s="10">
        <f>SUM(I7:I9)</f>
        <v>87551</v>
      </c>
      <c r="J10" s="10">
        <f>SUM(J7:J9)</f>
        <v>77744</v>
      </c>
      <c r="K10" s="10">
        <f>SUM(K7:K9)</f>
        <v>73943</v>
      </c>
      <c r="L10" s="10">
        <f>SUM(L7:L9)</f>
        <v>67020</v>
      </c>
      <c r="M10" s="10">
        <f>SUM(M7:M9)</f>
        <v>102500</v>
      </c>
      <c r="N10" s="10">
        <f>SUM(B10:M10)</f>
        <v>904114.5</v>
      </c>
      <c r="O10" s="14">
        <f>IFERROR(N10/N10,0)</f>
        <v>1</v>
      </c>
    </row>
    <row r="11" ht="20" customHeight="1">
      <c r="A11" s="11" t="inlineStr">
        <is>
          <t xml:space="preserve">Coût matières</t>
        </is>
      </c>
    </row>
    <row r="12">
      <c r="A12" t="inlineStr">
        <is>
          <t xml:space="preserve">Coût matières cuisine</t>
        </is>
      </c>
      <c r="B12" s="6">
        <f>B7*'Hypothèses'!$B$12</f>
        <v>12412.4</v>
      </c>
      <c r="C12" s="6">
        <f>C7*'Hypothèses'!$B$12</f>
        <v>12112.32</v>
      </c>
      <c r="D12" s="6">
        <f>D7*'Hypothèses'!$B$12</f>
        <v>15099.48</v>
      </c>
      <c r="E12" s="6">
        <f>E7*'Hypothèses'!$B$12</f>
        <v>15604.16</v>
      </c>
      <c r="F12" s="6">
        <f>F7*'Hypothèses'!$B$12</f>
        <v>17493.3</v>
      </c>
      <c r="G12" s="6">
        <f>G7*'Hypothèses'!$B$12</f>
        <v>17377.36</v>
      </c>
      <c r="H12" s="6">
        <f>H7*'Hypothèses'!$B$12</f>
        <v>19150.56</v>
      </c>
      <c r="I12" s="6">
        <f>I7*'Hypothèses'!$B$12</f>
        <v>18782.28</v>
      </c>
      <c r="J12" s="6">
        <f>J7*'Hypothèses'!$B$12</f>
        <v>17054.96</v>
      </c>
      <c r="K12" s="6">
        <f>K7*'Hypothèses'!$B$12</f>
        <v>16555.86</v>
      </c>
      <c r="L12" s="6">
        <f>L7*'Hypothèses'!$B$12</f>
        <v>14830.4</v>
      </c>
      <c r="M12" s="6">
        <f>M7*'Hypothèses'!$B$12</f>
        <v>20832</v>
      </c>
      <c r="N12" s="6">
        <f>SUM(B12:M12)</f>
        <v>197305.08</v>
      </c>
      <c r="O12" s="8">
        <f>IFERROR(N12/N10,0)</f>
        <v>0.21823</v>
      </c>
    </row>
    <row r="13">
      <c r="A13" t="inlineStr">
        <is>
          <t xml:space="preserve">Coût matières boissons</t>
        </is>
      </c>
      <c r="B13" s="6">
        <f>B8*'Hypothèses'!$B$13</f>
        <v>3640</v>
      </c>
      <c r="C13" s="6">
        <f>C8*'Hypothèses'!$B$13</f>
        <v>3552</v>
      </c>
      <c r="D13" s="6">
        <f>D8*'Hypothèses'!$B$13</f>
        <v>4428</v>
      </c>
      <c r="E13" s="6">
        <f>E8*'Hypothèses'!$B$13</f>
        <v>4862</v>
      </c>
      <c r="F13" s="6">
        <f>F8*'Hypothèses'!$B$13</f>
        <v>5450.625</v>
      </c>
      <c r="G13" s="6">
        <f>G8*'Hypothèses'!$B$13</f>
        <v>5733</v>
      </c>
      <c r="H13" s="6">
        <f>H8*'Hypothèses'!$B$13</f>
        <v>6669</v>
      </c>
      <c r="I13" s="6">
        <f>I8*'Hypothèses'!$B$13</f>
        <v>6540.75</v>
      </c>
      <c r="J13" s="6">
        <f>J8*'Hypothèses'!$B$13</f>
        <v>5382</v>
      </c>
      <c r="K13" s="6">
        <f>K8*'Hypothèses'!$B$13</f>
        <v>4934.25</v>
      </c>
      <c r="L13" s="6">
        <f>L8*'Hypothèses'!$B$13</f>
        <v>4420</v>
      </c>
      <c r="M13" s="6">
        <f>M8*'Hypothèses'!$B$13</f>
        <v>7700</v>
      </c>
      <c r="N13" s="6">
        <f>SUM(B13:M13)</f>
        <v>63311.625</v>
      </c>
      <c r="O13" s="8">
        <f>IFERROR(N13/N10,0)</f>
        <v>0.070026</v>
      </c>
    </row>
    <row r="14">
      <c r="A14" s="3" t="inlineStr">
        <is>
          <t xml:space="preserve">Coût matières total</t>
        </is>
      </c>
      <c r="B14" s="10">
        <f>SUM(B12:B13)</f>
        <v>16052.4</v>
      </c>
      <c r="C14" s="10">
        <f>SUM(C12:C13)</f>
        <v>15664.32</v>
      </c>
      <c r="D14" s="10">
        <f>SUM(D12:D13)</f>
        <v>19527.48</v>
      </c>
      <c r="E14" s="10">
        <f>SUM(E12:E13)</f>
        <v>20466.16</v>
      </c>
      <c r="F14" s="10">
        <f>SUM(F12:F13)</f>
        <v>22943.925</v>
      </c>
      <c r="G14" s="10">
        <f>SUM(G12:G13)</f>
        <v>23110.36</v>
      </c>
      <c r="H14" s="10">
        <f>SUM(H12:H13)</f>
        <v>25819.56</v>
      </c>
      <c r="I14" s="10">
        <f>SUM(I12:I13)</f>
        <v>25323.03</v>
      </c>
      <c r="J14" s="10">
        <f>SUM(J12:J13)</f>
        <v>22436.96</v>
      </c>
      <c r="K14" s="10">
        <f>SUM(K12:K13)</f>
        <v>21490.11</v>
      </c>
      <c r="L14" s="10">
        <f>SUM(L12:L13)</f>
        <v>19250.4</v>
      </c>
      <c r="M14" s="10">
        <f>SUM(M12:M13)</f>
        <v>28532</v>
      </c>
      <c r="N14" s="10">
        <f>SUM(B14:M14)</f>
        <v>260616.705</v>
      </c>
      <c r="O14" s="14">
        <f>IFERROR(N14/N10,0)</f>
        <v>0.288256</v>
      </c>
    </row>
    <row r="15">
      <c r="A15" s="3" t="inlineStr">
        <is>
          <t xml:space="preserve">Marge brute</t>
        </is>
      </c>
      <c r="B15" s="10">
        <f>B10-B14</f>
        <v>38547.6</v>
      </c>
      <c r="C15" s="10">
        <f>C10-C14</f>
        <v>38215.68</v>
      </c>
      <c r="D15" s="10">
        <f>D10-D14</f>
        <v>46892.52</v>
      </c>
      <c r="E15" s="10">
        <f>E10-E14</f>
        <v>50117.84</v>
      </c>
      <c r="F15" s="10">
        <f>F10-F14</f>
        <v>56488.575</v>
      </c>
      <c r="G15" s="10">
        <f>G10-G14</f>
        <v>57377.64</v>
      </c>
      <c r="H15" s="10">
        <f>H10-H14</f>
        <v>64132.44</v>
      </c>
      <c r="I15" s="10">
        <f>I10-I14</f>
        <v>62227.97</v>
      </c>
      <c r="J15" s="10">
        <f>J10-J14</f>
        <v>55307.04</v>
      </c>
      <c r="K15" s="10">
        <f>K10-K14</f>
        <v>52452.89</v>
      </c>
      <c r="L15" s="10">
        <f>L10-L14</f>
        <v>47769.6</v>
      </c>
      <c r="M15" s="10">
        <f>M10-M14</f>
        <v>73968</v>
      </c>
      <c r="N15" s="10">
        <f>SUM(B15:M15)</f>
        <v>643497.795</v>
      </c>
      <c r="O15" s="14">
        <f>IFERROR(N15/N10,0)</f>
        <v>0.711744</v>
      </c>
    </row>
    <row r="16" ht="20" customHeight="1">
      <c r="A16" s="11" t="inlineStr">
        <is>
          <t xml:space="preserve">Personnel</t>
        </is>
      </c>
    </row>
    <row r="17">
      <c r="A17" t="inlineStr">
        <is>
          <t xml:space="preserve">Salaires cuisine</t>
        </is>
      </c>
      <c r="B17" s="7">
        <v>9400</v>
      </c>
      <c r="C17" s="7">
        <v>9400</v>
      </c>
      <c r="D17" s="7">
        <v>9400</v>
      </c>
      <c r="E17" s="7">
        <v>9400</v>
      </c>
      <c r="F17" s="7">
        <v>9400</v>
      </c>
      <c r="G17" s="7">
        <v>10200</v>
      </c>
      <c r="H17" s="7">
        <v>10200</v>
      </c>
      <c r="I17" s="7">
        <v>10200</v>
      </c>
      <c r="J17" s="7">
        <v>9400</v>
      </c>
      <c r="K17" s="7">
        <v>9400</v>
      </c>
      <c r="L17" s="7">
        <v>9400</v>
      </c>
      <c r="M17" s="7">
        <v>10600</v>
      </c>
      <c r="N17" s="6">
        <f>SUM(B17:M17)</f>
        <v>116400</v>
      </c>
      <c r="O17" s="8">
        <f>IFERROR(N17/N10,0)</f>
        <v>0.128745</v>
      </c>
    </row>
    <row r="18">
      <c r="A18" t="inlineStr">
        <is>
          <t xml:space="preserve">Salaires salle</t>
        </is>
      </c>
      <c r="B18" s="7">
        <v>8200</v>
      </c>
      <c r="C18" s="7">
        <v>8200</v>
      </c>
      <c r="D18" s="7">
        <v>8200</v>
      </c>
      <c r="E18" s="7">
        <v>8200</v>
      </c>
      <c r="F18" s="7">
        <v>8200</v>
      </c>
      <c r="G18" s="7">
        <v>9200</v>
      </c>
      <c r="H18" s="7">
        <v>9200</v>
      </c>
      <c r="I18" s="7">
        <v>9200</v>
      </c>
      <c r="J18" s="7">
        <v>8200</v>
      </c>
      <c r="K18" s="7">
        <v>8200</v>
      </c>
      <c r="L18" s="7">
        <v>8200</v>
      </c>
      <c r="M18" s="7">
        <v>10000</v>
      </c>
      <c r="N18" s="6">
        <f>SUM(B18:M18)</f>
        <v>103200</v>
      </c>
      <c r="O18" s="8">
        <f>IFERROR(N18/N10,0)</f>
        <v>0.114145</v>
      </c>
    </row>
    <row r="19">
      <c r="A19" t="inlineStr">
        <is>
          <t xml:space="preserve">Salaires encadrement</t>
        </is>
      </c>
      <c r="B19" s="7">
        <v>4800</v>
      </c>
      <c r="C19" s="7">
        <v>4800</v>
      </c>
      <c r="D19" s="7">
        <v>4800</v>
      </c>
      <c r="E19" s="7">
        <v>4800</v>
      </c>
      <c r="F19" s="7">
        <v>4800</v>
      </c>
      <c r="G19" s="7">
        <v>4800</v>
      </c>
      <c r="H19" s="7">
        <v>4800</v>
      </c>
      <c r="I19" s="7">
        <v>4800</v>
      </c>
      <c r="J19" s="7">
        <v>4800</v>
      </c>
      <c r="K19" s="7">
        <v>4800</v>
      </c>
      <c r="L19" s="7">
        <v>4800</v>
      </c>
      <c r="M19" s="7">
        <v>4800</v>
      </c>
      <c r="N19" s="6">
        <f>SUM(B19:M19)</f>
        <v>57600</v>
      </c>
      <c r="O19" s="8">
        <f>IFERROR(N19/N10,0)</f>
        <v>0.063709</v>
      </c>
    </row>
    <row r="20">
      <c r="A20" t="inlineStr">
        <is>
          <t xml:space="preserve">Charges sociales et avantages</t>
        </is>
      </c>
      <c r="B20" s="6">
        <f>SUM(B17:B19)*'Hypothèses'!$B$14</f>
        <v>4480</v>
      </c>
      <c r="C20" s="6">
        <f>SUM(C17:C19)*'Hypothèses'!$B$14</f>
        <v>4480</v>
      </c>
      <c r="D20" s="6">
        <f>SUM(D17:D19)*'Hypothèses'!$B$14</f>
        <v>4480</v>
      </c>
      <c r="E20" s="6">
        <f>SUM(E17:E19)*'Hypothèses'!$B$14</f>
        <v>4480</v>
      </c>
      <c r="F20" s="6">
        <f>SUM(F17:F19)*'Hypothèses'!$B$14</f>
        <v>4480</v>
      </c>
      <c r="G20" s="6">
        <f>SUM(G17:G19)*'Hypothèses'!$B$14</f>
        <v>4840</v>
      </c>
      <c r="H20" s="6">
        <f>SUM(H17:H19)*'Hypothèses'!$B$14</f>
        <v>4840</v>
      </c>
      <c r="I20" s="6">
        <f>SUM(I17:I19)*'Hypothèses'!$B$14</f>
        <v>4840</v>
      </c>
      <c r="J20" s="6">
        <f>SUM(J17:J19)*'Hypothèses'!$B$14</f>
        <v>4480</v>
      </c>
      <c r="K20" s="6">
        <f>SUM(K17:K19)*'Hypothèses'!$B$14</f>
        <v>4480</v>
      </c>
      <c r="L20" s="6">
        <f>SUM(L17:L19)*'Hypothèses'!$B$14</f>
        <v>4480</v>
      </c>
      <c r="M20" s="6">
        <f>SUM(M17:M19)*'Hypothèses'!$B$14</f>
        <v>5080</v>
      </c>
      <c r="N20" s="6">
        <f>SUM(B20:M20)</f>
        <v>55440</v>
      </c>
      <c r="O20" s="8">
        <f>IFERROR(N20/N10,0)</f>
        <v>0.06132</v>
      </c>
    </row>
    <row r="21">
      <c r="A21" s="3" t="inlineStr">
        <is>
          <t xml:space="preserve">Personnel total</t>
        </is>
      </c>
      <c r="B21" s="10">
        <f>SUM(B17:B20)</f>
        <v>26880</v>
      </c>
      <c r="C21" s="10">
        <f>SUM(C17:C20)</f>
        <v>26880</v>
      </c>
      <c r="D21" s="10">
        <f>SUM(D17:D20)</f>
        <v>26880</v>
      </c>
      <c r="E21" s="10">
        <f>SUM(E17:E20)</f>
        <v>26880</v>
      </c>
      <c r="F21" s="10">
        <f>SUM(F17:F20)</f>
        <v>26880</v>
      </c>
      <c r="G21" s="10">
        <f>SUM(G17:G20)</f>
        <v>29040</v>
      </c>
      <c r="H21" s="10">
        <f>SUM(H17:H20)</f>
        <v>29040</v>
      </c>
      <c r="I21" s="10">
        <f>SUM(I17:I20)</f>
        <v>29040</v>
      </c>
      <c r="J21" s="10">
        <f>SUM(J17:J20)</f>
        <v>26880</v>
      </c>
      <c r="K21" s="10">
        <f>SUM(K17:K20)</f>
        <v>26880</v>
      </c>
      <c r="L21" s="10">
        <f>SUM(L17:L20)</f>
        <v>26880</v>
      </c>
      <c r="M21" s="10">
        <f>SUM(M17:M20)</f>
        <v>30480</v>
      </c>
      <c r="N21" s="10">
        <f>SUM(B21:M21)</f>
        <v>332640</v>
      </c>
      <c r="O21" s="14">
        <f>IFERROR(N21/N10,0)</f>
        <v>0.367918</v>
      </c>
    </row>
    <row r="22">
      <c r="A22" s="3" t="inlineStr">
        <is>
          <t xml:space="preserve">Prime cost (coût matières + personnel)</t>
        </is>
      </c>
      <c r="B22" s="10">
        <f>B14+B21</f>
        <v>42932.4</v>
      </c>
      <c r="C22" s="10">
        <f>C14+C21</f>
        <v>42544.32</v>
      </c>
      <c r="D22" s="10">
        <f>D14+D21</f>
        <v>46407.48</v>
      </c>
      <c r="E22" s="10">
        <f>E14+E21</f>
        <v>47346.16</v>
      </c>
      <c r="F22" s="10">
        <f>F14+F21</f>
        <v>49823.925</v>
      </c>
      <c r="G22" s="10">
        <f>G14+G21</f>
        <v>52150.36</v>
      </c>
      <c r="H22" s="10">
        <f>H14+H21</f>
        <v>54859.56</v>
      </c>
      <c r="I22" s="10">
        <f>I14+I21</f>
        <v>54363.03</v>
      </c>
      <c r="J22" s="10">
        <f>J14+J21</f>
        <v>49316.96</v>
      </c>
      <c r="K22" s="10">
        <f>K14+K21</f>
        <v>48370.11</v>
      </c>
      <c r="L22" s="10">
        <f>L14+L21</f>
        <v>46130.4</v>
      </c>
      <c r="M22" s="10">
        <f>M14+M21</f>
        <v>59012</v>
      </c>
      <c r="N22" s="10">
        <f>SUM(B22:M22)</f>
        <v>593256.705</v>
      </c>
      <c r="O22" s="14">
        <f>IFERROR(N22/N10,0)</f>
        <v>0.656174</v>
      </c>
    </row>
    <row r="23" ht="20" customHeight="1">
      <c r="A23" s="11" t="inlineStr">
        <is>
          <t xml:space="preserve">Frais d’exploitation</t>
        </is>
      </c>
    </row>
    <row r="24">
      <c r="A24" t="inlineStr">
        <is>
          <t xml:space="preserve">Frais de carte bancaire</t>
        </is>
      </c>
      <c r="B24" s="6">
        <f>B10*'Hypothèses'!$B$15</f>
        <v>873.6</v>
      </c>
      <c r="C24" s="6">
        <f>C10*'Hypothèses'!$B$15</f>
        <v>862.08</v>
      </c>
      <c r="D24" s="6">
        <f>D10*'Hypothèses'!$B$15</f>
        <v>1062.72</v>
      </c>
      <c r="E24" s="6">
        <f>E10*'Hypothèses'!$B$15</f>
        <v>1129.344</v>
      </c>
      <c r="F24" s="6">
        <f>F10*'Hypothèses'!$B$15</f>
        <v>1270.92</v>
      </c>
      <c r="G24" s="6">
        <f>G10*'Hypothèses'!$B$15</f>
        <v>1287.808</v>
      </c>
      <c r="H24" s="6">
        <f>H10*'Hypothèses'!$B$15</f>
        <v>1439.232</v>
      </c>
      <c r="I24" s="6">
        <f>I10*'Hypothèses'!$B$15</f>
        <v>1400.816</v>
      </c>
      <c r="J24" s="6">
        <f>J10*'Hypothèses'!$B$15</f>
        <v>1243.904</v>
      </c>
      <c r="K24" s="6">
        <f>K10*'Hypothèses'!$B$15</f>
        <v>1183.088</v>
      </c>
      <c r="L24" s="6">
        <f>L10*'Hypothèses'!$B$15</f>
        <v>1072.32</v>
      </c>
      <c r="M24" s="6">
        <f>M10*'Hypothèses'!$B$15</f>
        <v>1640</v>
      </c>
      <c r="N24" s="6">
        <f>SUM(B24:M24)</f>
        <v>14465.832</v>
      </c>
      <c r="O24" s="8">
        <f>IFERROR(N24/N10,0)</f>
        <v>0.016</v>
      </c>
    </row>
    <row r="25">
      <c r="A25" t="inlineStr">
        <is>
          <t xml:space="preserve">Marketing</t>
        </is>
      </c>
      <c r="B25" s="7">
        <v>1100</v>
      </c>
      <c r="C25" s="7">
        <v>1100</v>
      </c>
      <c r="D25" s="7">
        <v>1400</v>
      </c>
      <c r="E25" s="7">
        <v>1100</v>
      </c>
      <c r="F25" s="7">
        <v>1100</v>
      </c>
      <c r="G25" s="7">
        <v>1100</v>
      </c>
      <c r="H25" s="7">
        <v>1100</v>
      </c>
      <c r="I25" s="7">
        <v>1100</v>
      </c>
      <c r="J25" s="7">
        <v>1100</v>
      </c>
      <c r="K25" s="7">
        <v>1100</v>
      </c>
      <c r="L25" s="7">
        <v>1800</v>
      </c>
      <c r="M25" s="7">
        <v>1400</v>
      </c>
      <c r="N25" s="6">
        <f>SUM(B25:M25)</f>
        <v>14500</v>
      </c>
      <c r="O25" s="8">
        <f>IFERROR(N25/N10,0)</f>
        <v>0.016038</v>
      </c>
    </row>
    <row r="26">
      <c r="A26" t="inlineStr">
        <is>
          <t xml:space="preserve">Entretien et réparations</t>
        </is>
      </c>
      <c r="B26" s="7">
        <v>850</v>
      </c>
      <c r="C26" s="7">
        <v>850</v>
      </c>
      <c r="D26" s="7">
        <v>850</v>
      </c>
      <c r="E26" s="7">
        <v>850</v>
      </c>
      <c r="F26" s="7">
        <v>850</v>
      </c>
      <c r="G26" s="7">
        <v>850</v>
      </c>
      <c r="H26" s="7">
        <v>850</v>
      </c>
      <c r="I26" s="7">
        <v>850</v>
      </c>
      <c r="J26" s="7">
        <v>850</v>
      </c>
      <c r="K26" s="7">
        <v>850</v>
      </c>
      <c r="L26" s="7">
        <v>850</v>
      </c>
      <c r="M26" s="7">
        <v>850</v>
      </c>
      <c r="N26" s="6">
        <f>SUM(B26:M26)</f>
        <v>10200</v>
      </c>
      <c r="O26" s="8">
        <f>IFERROR(N26/N10,0)</f>
        <v>0.011282</v>
      </c>
    </row>
    <row r="27">
      <c r="A27" t="inlineStr">
        <is>
          <t xml:space="preserve">Petit matériel et fournitures</t>
        </is>
      </c>
      <c r="B27" s="7">
        <v>600</v>
      </c>
      <c r="C27" s="7">
        <v>600</v>
      </c>
      <c r="D27" s="7">
        <v>600</v>
      </c>
      <c r="E27" s="7">
        <v>600</v>
      </c>
      <c r="F27" s="7">
        <v>600</v>
      </c>
      <c r="G27" s="7">
        <v>600</v>
      </c>
      <c r="H27" s="7">
        <v>600</v>
      </c>
      <c r="I27" s="7">
        <v>600</v>
      </c>
      <c r="J27" s="7">
        <v>600</v>
      </c>
      <c r="K27" s="7">
        <v>600</v>
      </c>
      <c r="L27" s="7">
        <v>600</v>
      </c>
      <c r="M27" s="7">
        <v>900</v>
      </c>
      <c r="N27" s="6">
        <f>SUM(B27:M27)</f>
        <v>7500</v>
      </c>
      <c r="O27" s="8">
        <f>IFERROR(N27/N10,0)</f>
        <v>0.008295</v>
      </c>
    </row>
    <row r="28">
      <c r="A28" t="inlineStr">
        <is>
          <t xml:space="preserve">Nettoyage et blanchisserie</t>
        </is>
      </c>
      <c r="B28" s="7">
        <v>850</v>
      </c>
      <c r="C28" s="7">
        <v>850</v>
      </c>
      <c r="D28" s="7">
        <v>850</v>
      </c>
      <c r="E28" s="7">
        <v>850</v>
      </c>
      <c r="F28" s="7">
        <v>850</v>
      </c>
      <c r="G28" s="7">
        <v>850</v>
      </c>
      <c r="H28" s="7">
        <v>850</v>
      </c>
      <c r="I28" s="7">
        <v>850</v>
      </c>
      <c r="J28" s="7">
        <v>850</v>
      </c>
      <c r="K28" s="7">
        <v>850</v>
      </c>
      <c r="L28" s="7">
        <v>850</v>
      </c>
      <c r="M28" s="7">
        <v>850</v>
      </c>
      <c r="N28" s="6">
        <f>SUM(B28:M28)</f>
        <v>10200</v>
      </c>
      <c r="O28" s="8">
        <f>IFERROR(N28/N10,0)</f>
        <v>0.011282</v>
      </c>
    </row>
    <row r="29">
      <c r="A29" t="inlineStr">
        <is>
          <t xml:space="preserve">Énergie et eau</t>
        </is>
      </c>
      <c r="B29" s="7">
        <v>2700</v>
      </c>
      <c r="C29" s="7">
        <v>2600</v>
      </c>
      <c r="D29" s="7">
        <v>2400</v>
      </c>
      <c r="E29" s="7">
        <v>2200</v>
      </c>
      <c r="F29" s="7">
        <v>2100</v>
      </c>
      <c r="G29" s="7">
        <v>2300</v>
      </c>
      <c r="H29" s="7">
        <v>2600</v>
      </c>
      <c r="I29" s="7">
        <v>2600</v>
      </c>
      <c r="J29" s="7">
        <v>2200</v>
      </c>
      <c r="K29" s="7">
        <v>2300</v>
      </c>
      <c r="L29" s="7">
        <v>2500</v>
      </c>
      <c r="M29" s="7">
        <v>2900</v>
      </c>
      <c r="N29" s="6">
        <f>SUM(B29:M29)</f>
        <v>29400</v>
      </c>
      <c r="O29" s="8">
        <f>IFERROR(N29/N10,0)</f>
        <v>0.032518</v>
      </c>
    </row>
    <row r="30">
      <c r="A30" t="inlineStr">
        <is>
          <t xml:space="preserve">Logiciels et abonnements</t>
        </is>
      </c>
      <c r="B30" s="7">
        <v>600</v>
      </c>
      <c r="C30" s="7">
        <v>600</v>
      </c>
      <c r="D30" s="7">
        <v>600</v>
      </c>
      <c r="E30" s="7">
        <v>600</v>
      </c>
      <c r="F30" s="7">
        <v>600</v>
      </c>
      <c r="G30" s="7">
        <v>600</v>
      </c>
      <c r="H30" s="7">
        <v>600</v>
      </c>
      <c r="I30" s="7">
        <v>600</v>
      </c>
      <c r="J30" s="7">
        <v>600</v>
      </c>
      <c r="K30" s="7">
        <v>600</v>
      </c>
      <c r="L30" s="7">
        <v>600</v>
      </c>
      <c r="M30" s="7">
        <v>600</v>
      </c>
      <c r="N30" s="6">
        <f>SUM(B30:M30)</f>
        <v>7200</v>
      </c>
      <c r="O30" s="8">
        <f>IFERROR(N30/N10,0)</f>
        <v>0.007964</v>
      </c>
    </row>
    <row r="31">
      <c r="A31" t="inlineStr">
        <is>
          <t xml:space="preserve">Comptabilité et juridique</t>
        </is>
      </c>
      <c r="B31" s="7">
        <v>750</v>
      </c>
      <c r="C31" s="7">
        <v>750</v>
      </c>
      <c r="D31" s="7">
        <v>750</v>
      </c>
      <c r="E31" s="7">
        <v>750</v>
      </c>
      <c r="F31" s="7">
        <v>750</v>
      </c>
      <c r="G31" s="7">
        <v>750</v>
      </c>
      <c r="H31" s="7">
        <v>750</v>
      </c>
      <c r="I31" s="7">
        <v>750</v>
      </c>
      <c r="J31" s="7">
        <v>750</v>
      </c>
      <c r="K31" s="7">
        <v>750</v>
      </c>
      <c r="L31" s="7">
        <v>750</v>
      </c>
      <c r="M31" s="7">
        <v>750</v>
      </c>
      <c r="N31" s="6">
        <f>SUM(B31:M31)</f>
        <v>9000</v>
      </c>
      <c r="O31" s="8">
        <f>IFERROR(N31/N10,0)</f>
        <v>0.009954</v>
      </c>
    </row>
    <row r="32">
      <c r="A32" s="3" t="inlineStr">
        <is>
          <t xml:space="preserve">Frais d’exploitation totaux</t>
        </is>
      </c>
      <c r="B32" s="10">
        <f>SUM(B24:B31)</f>
        <v>8323.6</v>
      </c>
      <c r="C32" s="10">
        <f>SUM(C24:C31)</f>
        <v>8212.08</v>
      </c>
      <c r="D32" s="10">
        <f>SUM(D24:D31)</f>
        <v>8512.72</v>
      </c>
      <c r="E32" s="10">
        <f>SUM(E24:E31)</f>
        <v>8079.344</v>
      </c>
      <c r="F32" s="10">
        <f>SUM(F24:F31)</f>
        <v>8120.92</v>
      </c>
      <c r="G32" s="10">
        <f>SUM(G24:G31)</f>
        <v>8337.808</v>
      </c>
      <c r="H32" s="10">
        <f>SUM(H24:H31)</f>
        <v>8789.232</v>
      </c>
      <c r="I32" s="10">
        <f>SUM(I24:I31)</f>
        <v>8750.816</v>
      </c>
      <c r="J32" s="10">
        <f>SUM(J24:J31)</f>
        <v>8193.904</v>
      </c>
      <c r="K32" s="10">
        <f>SUM(K24:K31)</f>
        <v>8233.088</v>
      </c>
      <c r="L32" s="10">
        <f>SUM(L24:L31)</f>
        <v>9022.32</v>
      </c>
      <c r="M32" s="10">
        <f>SUM(M24:M31)</f>
        <v>9890</v>
      </c>
      <c r="N32" s="10">
        <f>SUM(B32:M32)</f>
        <v>102465.832</v>
      </c>
      <c r="O32" s="14">
        <f>IFERROR(N32/N10,0)</f>
        <v>0.113333</v>
      </c>
    </row>
    <row r="33" ht="20" customHeight="1">
      <c r="A33" s="11" t="inlineStr">
        <is>
          <t xml:space="preserve">Locaux</t>
        </is>
      </c>
    </row>
    <row r="34">
      <c r="A34" t="inlineStr">
        <is>
          <t xml:space="preserve">Loyer</t>
        </is>
      </c>
      <c r="B34" s="7">
        <v>6800</v>
      </c>
      <c r="C34" s="7">
        <v>6800</v>
      </c>
      <c r="D34" s="7">
        <v>6800</v>
      </c>
      <c r="E34" s="7">
        <v>6800</v>
      </c>
      <c r="F34" s="7">
        <v>6800</v>
      </c>
      <c r="G34" s="7">
        <v>6800</v>
      </c>
      <c r="H34" s="7">
        <v>6800</v>
      </c>
      <c r="I34" s="7">
        <v>6800</v>
      </c>
      <c r="J34" s="7">
        <v>6800</v>
      </c>
      <c r="K34" s="7">
        <v>6800</v>
      </c>
      <c r="L34" s="7">
        <v>6800</v>
      </c>
      <c r="M34" s="7">
        <v>6800</v>
      </c>
      <c r="N34" s="6">
        <f>SUM(B34:M34)</f>
        <v>81600</v>
      </c>
      <c r="O34" s="8">
        <f>IFERROR(N34/N10,0)</f>
        <v>0.090254</v>
      </c>
    </row>
    <row r="35">
      <c r="A35" t="inlineStr">
        <is>
          <t xml:space="preserve">Taxe foncière et charges</t>
        </is>
      </c>
      <c r="B35" s="7">
        <v>950</v>
      </c>
      <c r="C35" s="7">
        <v>950</v>
      </c>
      <c r="D35" s="7">
        <v>950</v>
      </c>
      <c r="E35" s="7">
        <v>950</v>
      </c>
      <c r="F35" s="7">
        <v>950</v>
      </c>
      <c r="G35" s="7">
        <v>950</v>
      </c>
      <c r="H35" s="7">
        <v>950</v>
      </c>
      <c r="I35" s="7">
        <v>950</v>
      </c>
      <c r="J35" s="7">
        <v>950</v>
      </c>
      <c r="K35" s="7">
        <v>950</v>
      </c>
      <c r="L35" s="7">
        <v>950</v>
      </c>
      <c r="M35" s="7">
        <v>950</v>
      </c>
      <c r="N35" s="6">
        <f>SUM(B35:M35)</f>
        <v>11400</v>
      </c>
      <c r="O35" s="8">
        <f>IFERROR(N35/N10,0)</f>
        <v>0.012609</v>
      </c>
    </row>
    <row r="36">
      <c r="A36" t="inlineStr">
        <is>
          <t xml:space="preserve">Assurances</t>
        </is>
      </c>
      <c r="B36" s="7">
        <v>450</v>
      </c>
      <c r="C36" s="7">
        <v>450</v>
      </c>
      <c r="D36" s="7">
        <v>450</v>
      </c>
      <c r="E36" s="7">
        <v>450</v>
      </c>
      <c r="F36" s="7">
        <v>450</v>
      </c>
      <c r="G36" s="7">
        <v>450</v>
      </c>
      <c r="H36" s="7">
        <v>450</v>
      </c>
      <c r="I36" s="7">
        <v>450</v>
      </c>
      <c r="J36" s="7">
        <v>450</v>
      </c>
      <c r="K36" s="7">
        <v>450</v>
      </c>
      <c r="L36" s="7">
        <v>450</v>
      </c>
      <c r="M36" s="7">
        <v>450</v>
      </c>
      <c r="N36" s="6">
        <f>SUM(B36:M36)</f>
        <v>5400</v>
      </c>
      <c r="O36" s="8">
        <f>IFERROR(N36/N10,0)</f>
        <v>0.005973</v>
      </c>
    </row>
    <row r="37">
      <c r="A37" s="3" t="inlineStr">
        <is>
          <t xml:space="preserve">Locaux total</t>
        </is>
      </c>
      <c r="B37" s="10">
        <f>SUM(B34:B36)</f>
        <v>8200</v>
      </c>
      <c r="C37" s="10">
        <f>SUM(C34:C36)</f>
        <v>8200</v>
      </c>
      <c r="D37" s="10">
        <f>SUM(D34:D36)</f>
        <v>8200</v>
      </c>
      <c r="E37" s="10">
        <f>SUM(E34:E36)</f>
        <v>8200</v>
      </c>
      <c r="F37" s="10">
        <f>SUM(F34:F36)</f>
        <v>8200</v>
      </c>
      <c r="G37" s="10">
        <f>SUM(G34:G36)</f>
        <v>8200</v>
      </c>
      <c r="H37" s="10">
        <f>SUM(H34:H36)</f>
        <v>8200</v>
      </c>
      <c r="I37" s="10">
        <f>SUM(I34:I36)</f>
        <v>8200</v>
      </c>
      <c r="J37" s="10">
        <f>SUM(J34:J36)</f>
        <v>8200</v>
      </c>
      <c r="K37" s="10">
        <f>SUM(K34:K36)</f>
        <v>8200</v>
      </c>
      <c r="L37" s="10">
        <f>SUM(L34:L36)</f>
        <v>8200</v>
      </c>
      <c r="M37" s="10">
        <f>SUM(M34:M36)</f>
        <v>8200</v>
      </c>
      <c r="N37" s="10">
        <f>SUM(B37:M37)</f>
        <v>98400</v>
      </c>
      <c r="O37" s="14">
        <f>IFERROR(N37/N10,0)</f>
        <v>0.108836</v>
      </c>
    </row>
    <row r="38">
      <c r="A38" s="3" t="inlineStr">
        <is>
          <t xml:space="preserve">Résultat d’exploitation (EBITDA)</t>
        </is>
      </c>
      <c r="B38" s="10">
        <f>B15-B21-B32-B37</f>
        <v>-4856</v>
      </c>
      <c r="C38" s="10">
        <f>C15-C21-C32-C37</f>
        <v>-5076.4</v>
      </c>
      <c r="D38" s="10">
        <f>D15-D21-D32-D37</f>
        <v>3299.8</v>
      </c>
      <c r="E38" s="10">
        <f>E15-E21-E32-E37</f>
        <v>6958.496</v>
      </c>
      <c r="F38" s="10">
        <f>F15-F21-F32-F37</f>
        <v>13287.655</v>
      </c>
      <c r="G38" s="10">
        <f>G15-G21-G32-G37</f>
        <v>11799.832</v>
      </c>
      <c r="H38" s="10">
        <f>H15-H21-H32-H37</f>
        <v>18103.208</v>
      </c>
      <c r="I38" s="10">
        <f>I15-I21-I32-I37</f>
        <v>16237.154</v>
      </c>
      <c r="J38" s="10">
        <f>J15-J21-J32-J37</f>
        <v>12033.136</v>
      </c>
      <c r="K38" s="10">
        <f>K15-K21-K32-K37</f>
        <v>9139.802</v>
      </c>
      <c r="L38" s="10">
        <f>L15-L21-L32-L37</f>
        <v>3667.28</v>
      </c>
      <c r="M38" s="10">
        <f>M15-M21-M32-M37</f>
        <v>25398</v>
      </c>
      <c r="N38" s="10">
        <f>SUM(B38:M38)</f>
        <v>109991.963</v>
      </c>
      <c r="O38" s="14">
        <f>IFERROR(N38/N10,0)</f>
        <v>0.121657</v>
      </c>
    </row>
    <row r="39">
      <c r="A39" t="inlineStr">
        <is>
          <t xml:space="preserve">Amortissements</t>
        </is>
      </c>
      <c r="B39" s="7">
        <v>1500</v>
      </c>
      <c r="C39" s="7">
        <v>1500</v>
      </c>
      <c r="D39" s="7">
        <v>1500</v>
      </c>
      <c r="E39" s="7">
        <v>1500</v>
      </c>
      <c r="F39" s="7">
        <v>1500</v>
      </c>
      <c r="G39" s="7">
        <v>1500</v>
      </c>
      <c r="H39" s="7">
        <v>1500</v>
      </c>
      <c r="I39" s="7">
        <v>1500</v>
      </c>
      <c r="J39" s="7">
        <v>1500</v>
      </c>
      <c r="K39" s="7">
        <v>1500</v>
      </c>
      <c r="L39" s="7">
        <v>1500</v>
      </c>
      <c r="M39" s="7">
        <v>1500</v>
      </c>
      <c r="N39" s="6">
        <f>SUM(B39:M39)</f>
        <v>18000</v>
      </c>
      <c r="O39" s="8">
        <f>IFERROR(N39/N10,0)</f>
        <v>0.019909</v>
      </c>
    </row>
    <row r="40">
      <c r="A40" t="inlineStr">
        <is>
          <t xml:space="preserve">Intérêts d’emprunt</t>
        </is>
      </c>
      <c r="B40" s="7">
        <v>450</v>
      </c>
      <c r="C40" s="7">
        <v>450</v>
      </c>
      <c r="D40" s="7">
        <v>450</v>
      </c>
      <c r="E40" s="7">
        <v>450</v>
      </c>
      <c r="F40" s="7">
        <v>450</v>
      </c>
      <c r="G40" s="7">
        <v>450</v>
      </c>
      <c r="H40" s="7">
        <v>450</v>
      </c>
      <c r="I40" s="7">
        <v>450</v>
      </c>
      <c r="J40" s="7">
        <v>450</v>
      </c>
      <c r="K40" s="7">
        <v>450</v>
      </c>
      <c r="L40" s="7">
        <v>450</v>
      </c>
      <c r="M40" s="7">
        <v>450</v>
      </c>
      <c r="N40" s="6">
        <f>SUM(B40:M40)</f>
        <v>5400</v>
      </c>
      <c r="O40" s="8">
        <f>IFERROR(N40/N10,0)</f>
        <v>0.005973</v>
      </c>
    </row>
    <row r="41">
      <c r="A41" s="3" t="inlineStr">
        <is>
          <t xml:space="preserve">Résultat avant impôt</t>
        </is>
      </c>
      <c r="B41" s="10">
        <f>B38-B39-B40</f>
        <v>-6806</v>
      </c>
      <c r="C41" s="10">
        <f>C38-C39-C40</f>
        <v>-7026.4</v>
      </c>
      <c r="D41" s="10">
        <f>D38-D39-D40</f>
        <v>1349.8</v>
      </c>
      <c r="E41" s="10">
        <f>E38-E39-E40</f>
        <v>5008.496</v>
      </c>
      <c r="F41" s="10">
        <f>F38-F39-F40</f>
        <v>11337.655</v>
      </c>
      <c r="G41" s="10">
        <f>G38-G39-G40</f>
        <v>9849.832</v>
      </c>
      <c r="H41" s="10">
        <f>H38-H39-H40</f>
        <v>16153.208</v>
      </c>
      <c r="I41" s="10">
        <f>I38-I39-I40</f>
        <v>14287.154</v>
      </c>
      <c r="J41" s="10">
        <f>J38-J39-J40</f>
        <v>10083.136</v>
      </c>
      <c r="K41" s="10">
        <f>K38-K39-K40</f>
        <v>7189.802</v>
      </c>
      <c r="L41" s="10">
        <f>L38-L39-L40</f>
        <v>1717.28</v>
      </c>
      <c r="M41" s="10">
        <f>M38-M39-M40</f>
        <v>23448</v>
      </c>
      <c r="N41" s="10">
        <f>SUM(B41:M41)</f>
        <v>86591.963</v>
      </c>
      <c r="O41" s="14">
        <f>IFERROR(N41/N10,0)</f>
        <v>0.095775</v>
      </c>
    </row>
    <row r="42" ht="20" customHeight="1">
      <c r="A42" s="11" t="inlineStr">
        <is>
          <t xml:space="preserve">Ratios clés</t>
        </is>
      </c>
    </row>
    <row r="43">
      <c r="A43" t="inlineStr">
        <is>
          <t xml:space="preserve">Coût matières cuisine %</t>
        </is>
      </c>
      <c r="B43" s="8">
        <f>IFERROR(B12/B7,0)</f>
        <v>0.31</v>
      </c>
      <c r="C43" s="8">
        <f>IFERROR(C12/C7,0)</f>
        <v>0.31</v>
      </c>
      <c r="D43" s="8">
        <f>IFERROR(D12/D7,0)</f>
        <v>0.31</v>
      </c>
      <c r="E43" s="8">
        <f>IFERROR(E12/E7,0)</f>
        <v>0.31</v>
      </c>
      <c r="F43" s="8">
        <f>IFERROR(F12/F7,0)</f>
        <v>0.31</v>
      </c>
      <c r="G43" s="8">
        <f>IFERROR(G12/G7,0)</f>
        <v>0.31</v>
      </c>
      <c r="H43" s="8">
        <f>IFERROR(H12/H7,0)</f>
        <v>0.31</v>
      </c>
      <c r="I43" s="8">
        <f>IFERROR(I12/I7,0)</f>
        <v>0.31</v>
      </c>
      <c r="J43" s="8">
        <f>IFERROR(J12/J7,0)</f>
        <v>0.31</v>
      </c>
      <c r="K43" s="8">
        <f>IFERROR(K12/K7,0)</f>
        <v>0.31</v>
      </c>
      <c r="L43" s="8">
        <f>IFERROR(L12/L7,0)</f>
        <v>0.31</v>
      </c>
      <c r="M43" s="8">
        <f>IFERROR(M12/M7,0)</f>
        <v>0.31</v>
      </c>
      <c r="N43" s="14">
        <f>IFERROR(N12/N7,0)</f>
        <v>0.31</v>
      </c>
    </row>
    <row r="44">
      <c r="A44" t="inlineStr">
        <is>
          <t xml:space="preserve">Coût matières boissons %</t>
        </is>
      </c>
      <c r="B44" s="8">
        <f>IFERROR(B13/B8,0)</f>
        <v>0.25</v>
      </c>
      <c r="C44" s="8">
        <f>IFERROR(C13/C8,0)</f>
        <v>0.25</v>
      </c>
      <c r="D44" s="8">
        <f>IFERROR(D13/D8,0)</f>
        <v>0.25</v>
      </c>
      <c r="E44" s="8">
        <f>IFERROR(E13/E8,0)</f>
        <v>0.25</v>
      </c>
      <c r="F44" s="8">
        <f>IFERROR(F13/F8,0)</f>
        <v>0.25</v>
      </c>
      <c r="G44" s="8">
        <f>IFERROR(G13/G8,0)</f>
        <v>0.25</v>
      </c>
      <c r="H44" s="8">
        <f>IFERROR(H13/H8,0)</f>
        <v>0.25</v>
      </c>
      <c r="I44" s="8">
        <f>IFERROR(I13/I8,0)</f>
        <v>0.25</v>
      </c>
      <c r="J44" s="8">
        <f>IFERROR(J13/J8,0)</f>
        <v>0.25</v>
      </c>
      <c r="K44" s="8">
        <f>IFERROR(K13/K8,0)</f>
        <v>0.25</v>
      </c>
      <c r="L44" s="8">
        <f>IFERROR(L13/L8,0)</f>
        <v>0.25</v>
      </c>
      <c r="M44" s="8">
        <f>IFERROR(M13/M8,0)</f>
        <v>0.25</v>
      </c>
      <c r="N44" s="14">
        <f>IFERROR(N13/N8,0)</f>
        <v>0.25</v>
      </c>
    </row>
    <row r="45">
      <c r="A45" t="inlineStr">
        <is>
          <t xml:space="preserve">Coût du personnel %</t>
        </is>
      </c>
      <c r="B45" s="8">
        <f>IFERROR(B21/B10,0)</f>
        <v>0.492308</v>
      </c>
      <c r="C45" s="8">
        <f>IFERROR(C21/C10,0)</f>
        <v>0.498886</v>
      </c>
      <c r="D45" s="8">
        <f>IFERROR(D21/D10,0)</f>
        <v>0.404697</v>
      </c>
      <c r="E45" s="8">
        <f>IFERROR(E21/E10,0)</f>
        <v>0.380823</v>
      </c>
      <c r="F45" s="8">
        <f>IFERROR(F21/F10,0)</f>
        <v>0.338401</v>
      </c>
      <c r="G45" s="8">
        <f>IFERROR(G21/G10,0)</f>
        <v>0.360799</v>
      </c>
      <c r="H45" s="8">
        <f>IFERROR(H21/H10,0)</f>
        <v>0.322839</v>
      </c>
      <c r="I45" s="8">
        <f>IFERROR(I21/I10,0)</f>
        <v>0.331692</v>
      </c>
      <c r="J45" s="8">
        <f>IFERROR(J21/J10,0)</f>
        <v>0.34575</v>
      </c>
      <c r="K45" s="8">
        <f>IFERROR(K21/K10,0)</f>
        <v>0.363523</v>
      </c>
      <c r="L45" s="8">
        <f>IFERROR(L21/L10,0)</f>
        <v>0.401074</v>
      </c>
      <c r="M45" s="8">
        <f>IFERROR(M21/M10,0)</f>
        <v>0.297366</v>
      </c>
      <c r="N45" s="14">
        <f>IFERROR(N21/N10,0)</f>
        <v>0.367918</v>
      </c>
    </row>
    <row r="46">
      <c r="A46" t="inlineStr">
        <is>
          <t xml:space="preserve">Prime cost %</t>
        </is>
      </c>
      <c r="B46" s="8">
        <f>IFERROR(B22/B10,0)</f>
        <v>0.786308</v>
      </c>
      <c r="C46" s="8">
        <f>IFERROR(C22/C10,0)</f>
        <v>0.789612</v>
      </c>
      <c r="D46" s="8">
        <f>IFERROR(D22/D10,0)</f>
        <v>0.698697</v>
      </c>
      <c r="E46" s="8">
        <f>IFERROR(E22/E10,0)</f>
        <v>0.670778</v>
      </c>
      <c r="F46" s="8">
        <f>IFERROR(F22/F10,0)</f>
        <v>0.627249</v>
      </c>
      <c r="G46" s="8">
        <f>IFERROR(G22/G10,0)</f>
        <v>0.647927</v>
      </c>
      <c r="H46" s="8">
        <f>IFERROR(H22/H10,0)</f>
        <v>0.609876</v>
      </c>
      <c r="I46" s="8">
        <f>IFERROR(I22/I10,0)</f>
        <v>0.62093</v>
      </c>
      <c r="J46" s="8">
        <f>IFERROR(J22/J10,0)</f>
        <v>0.634351</v>
      </c>
      <c r="K46" s="8">
        <f>IFERROR(K22/K10,0)</f>
        <v>0.654154</v>
      </c>
      <c r="L46" s="8">
        <f>IFERROR(L22/L10,0)</f>
        <v>0.688308</v>
      </c>
      <c r="M46" s="8">
        <f>IFERROR(M22/M10,0)</f>
        <v>0.575727</v>
      </c>
      <c r="N46" s="14">
        <f>IFERROR(N22/N10,0)</f>
        <v>0.656174</v>
      </c>
    </row>
    <row r="47">
      <c r="A47" t="inlineStr">
        <is>
          <t xml:space="preserve">Ticket moyen par couvert</t>
        </is>
      </c>
      <c r="B47" s="13">
        <f>IFERROR(B10/B5,0)</f>
        <v>30</v>
      </c>
      <c r="C47" s="13">
        <f>IFERROR(C10/C5,0)</f>
        <v>30.337838</v>
      </c>
      <c r="D47" s="13">
        <f>IFERROR(D10/D5,0)</f>
        <v>30</v>
      </c>
      <c r="E47" s="13">
        <f>IFERROR(E10/E5,0)</f>
        <v>30.84965</v>
      </c>
      <c r="F47" s="13">
        <f>IFERROR(F10/F5,0)</f>
        <v>30.967836</v>
      </c>
      <c r="G47" s="13">
        <f>IFERROR(G10/G5,0)</f>
        <v>31.588697</v>
      </c>
      <c r="H47" s="13">
        <f>IFERROR(H10/H5,0)</f>
        <v>32.034188</v>
      </c>
      <c r="I47" s="13">
        <f>IFERROR(I10/I5,0)</f>
        <v>31.790487</v>
      </c>
      <c r="J47" s="13">
        <f>IFERROR(J10/J5,0)</f>
        <v>32.501672</v>
      </c>
      <c r="K47" s="13">
        <f>IFERROR(K10/K5,0)</f>
        <v>31.844531</v>
      </c>
      <c r="L47" s="13">
        <f>IFERROR(L10/L5,0)</f>
        <v>32.221154</v>
      </c>
      <c r="M47" s="13">
        <f>IFERROR(M10/M5,0)</f>
        <v>36.607143</v>
      </c>
      <c r="N47" s="13">
        <f>IFERROR(N10/N5,0)</f>
        <v>31.872052</v>
      </c>
    </row>
    <row r="48">
      <c r="A48" t="inlineStr">
        <is>
          <t xml:space="preserve">Marge nette</t>
        </is>
      </c>
      <c r="B48" s="8">
        <f>IFERROR(B41/B10,0)</f>
        <v>-0.124652</v>
      </c>
      <c r="C48" s="8">
        <f>IFERROR(C41/C10,0)</f>
        <v>-0.130408</v>
      </c>
      <c r="D48" s="8">
        <f>IFERROR(D41/D10,0)</f>
        <v>0.020322</v>
      </c>
      <c r="E48" s="8">
        <f>IFERROR(E41/E10,0)</f>
        <v>0.070958</v>
      </c>
      <c r="F48" s="8">
        <f>IFERROR(F41/F10,0)</f>
        <v>0.142733</v>
      </c>
      <c r="G48" s="8">
        <f>IFERROR(G41/G10,0)</f>
        <v>0.122376</v>
      </c>
      <c r="H48" s="8">
        <f>IFERROR(H41/H10,0)</f>
        <v>0.179576</v>
      </c>
      <c r="I48" s="8">
        <f>IFERROR(I41/I10,0)</f>
        <v>0.163187</v>
      </c>
      <c r="J48" s="8">
        <f>IFERROR(J41/J10,0)</f>
        <v>0.129697</v>
      </c>
      <c r="K48" s="8">
        <f>IFERROR(K41/K10,0)</f>
        <v>0.097234</v>
      </c>
      <c r="L48" s="8">
        <f>IFERROR(L41/L10,0)</f>
        <v>0.025623</v>
      </c>
      <c r="M48" s="8">
        <f>IFERROR(M41/M10,0)</f>
        <v>0.228761</v>
      </c>
      <c r="N48" s="14">
        <f>IFERROR(N41/N10,0)</f>
        <v>0.095775</v>
      </c>
    </row>
  </sheetData>
  <pageMargins left="0.4" right="0.4" top="0.5" bottom="0.5" header="0.3" footer="0.3"/>
  <pageSetup orientation="landscape" fitToWidth="1" fitToHeight="0"/>
</worksheet>
</file>

<file path=xl/worksheets/sheet2.xml><?xml version="1.0" encoding="utf-8"?>
<worksheet xmlns="http://schemas.openxmlformats.org/spreadsheetml/2006/main" xmlns:r="http://schemas.openxmlformats.org/officeDocument/2006/relationships">
  <sheetPr>
    <pageSetUpPr fitToPage="1"/>
  </sheetPr>
  <sheetViews>
    <sheetView workbookViewId="0" showGridLines="0">
      <pane xSplit="1" ySplit="4" topLeftCell="B5" activePane="bottomRight" state="frozen"/>
    </sheetView>
  </sheetViews>
  <sheetFormatPr defaultRowHeight="15"/>
  <cols>
    <col min="1" max="1" width="44" customWidth="1"/>
    <col min="2" max="2" width="10" customWidth="1"/>
    <col min="3" max="3" width="10" customWidth="1"/>
    <col min="4" max="4" width="10" customWidth="1"/>
    <col min="5" max="5" width="10" customWidth="1"/>
    <col min="6" max="6" width="10" customWidth="1"/>
    <col min="7" max="7" width="10" customWidth="1"/>
    <col min="8" max="8" width="10" customWidth="1"/>
    <col min="9" max="9" width="10" customWidth="1"/>
    <col min="10" max="10" width="10" customWidth="1"/>
    <col min="11" max="11" width="10" customWidth="1"/>
    <col min="12" max="12" width="10" customWidth="1"/>
    <col min="13" max="13" width="10" customWidth="1"/>
    <col min="14" max="14" width="12" customWidth="1"/>
  </cols>
  <sheetData>
    <row r="1" ht="24" customHeight="1">
      <c r="A1" s="4" t="inlineStr">
        <is>
          <t xml:space="preserve">Budget prévisionnel de restaurant</t>
        </is>
      </c>
    </row>
    <row r="2">
      <c r="A2" s="5" t="inlineStr">
        <is>
          <t xml:space="preserve">Les cellules jaunes sont à remplir. Tout le reste se calcule.</t>
        </is>
      </c>
    </row>
    <row r="4">
      <c r="A4" s="1" t="inlineStr">
        <is>
          <t xml:space="preserve">Hypothèse</t>
        </is>
      </c>
      <c r="B4" s="1" t="inlineStr">
        <is>
          <t xml:space="preserve">Janv.</t>
        </is>
      </c>
      <c r="C4" s="1" t="inlineStr">
        <is>
          <t xml:space="preserve">Févr.</t>
        </is>
      </c>
      <c r="D4" s="1" t="inlineStr">
        <is>
          <t xml:space="preserve">Mars</t>
        </is>
      </c>
      <c r="E4" s="1" t="inlineStr">
        <is>
          <t xml:space="preserve">Avr.</t>
        </is>
      </c>
      <c r="F4" s="1" t="inlineStr">
        <is>
          <t xml:space="preserve">Mai</t>
        </is>
      </c>
      <c r="G4" s="1" t="inlineStr">
        <is>
          <t xml:space="preserve">Juin</t>
        </is>
      </c>
      <c r="H4" s="1" t="inlineStr">
        <is>
          <t xml:space="preserve">Juil.</t>
        </is>
      </c>
      <c r="I4" s="1" t="inlineStr">
        <is>
          <t xml:space="preserve">Août</t>
        </is>
      </c>
      <c r="J4" s="1" t="inlineStr">
        <is>
          <t xml:space="preserve">Sept.</t>
        </is>
      </c>
      <c r="K4" s="1" t="inlineStr">
        <is>
          <t xml:space="preserve">Oct.</t>
        </is>
      </c>
      <c r="L4" s="1" t="inlineStr">
        <is>
          <t xml:space="preserve">Nov.</t>
        </is>
      </c>
      <c r="M4" s="1" t="inlineStr">
        <is>
          <t xml:space="preserve">Déc.</t>
        </is>
      </c>
      <c r="N4" s="1" t="inlineStr">
        <is>
          <t xml:space="preserve">Année</t>
        </is>
      </c>
    </row>
    <row r="5">
      <c r="A5" t="inlineStr">
        <is>
          <t xml:space="preserve">Jours d’ouverture</t>
        </is>
      </c>
      <c r="B5" s="16">
        <v>26</v>
      </c>
      <c r="C5" s="16">
        <v>24</v>
      </c>
      <c r="D5" s="16">
        <v>27</v>
      </c>
      <c r="E5" s="16">
        <v>26</v>
      </c>
      <c r="F5" s="16">
        <v>27</v>
      </c>
      <c r="G5" s="16">
        <v>26</v>
      </c>
      <c r="H5" s="16">
        <v>27</v>
      </c>
      <c r="I5" s="16">
        <v>27</v>
      </c>
      <c r="J5" s="16">
        <v>26</v>
      </c>
      <c r="K5" s="16">
        <v>27</v>
      </c>
      <c r="L5" s="16">
        <v>26</v>
      </c>
      <c r="M5" s="16">
        <v>25</v>
      </c>
      <c r="N5" s="15">
        <f>SUM(B5:M5)</f>
        <v>314</v>
      </c>
    </row>
    <row r="6">
      <c r="A6" t="inlineStr">
        <is>
          <t xml:space="preserve">Couverts par jour</t>
        </is>
      </c>
      <c r="B6" s="16">
        <v>70</v>
      </c>
      <c r="C6" s="16">
        <v>74</v>
      </c>
      <c r="D6" s="16">
        <v>82</v>
      </c>
      <c r="E6" s="16">
        <v>88</v>
      </c>
      <c r="F6" s="16">
        <v>95</v>
      </c>
      <c r="G6" s="16">
        <v>98</v>
      </c>
      <c r="H6" s="16">
        <v>104</v>
      </c>
      <c r="I6" s="16">
        <v>102</v>
      </c>
      <c r="J6" s="16">
        <v>92</v>
      </c>
      <c r="K6" s="16">
        <v>86</v>
      </c>
      <c r="L6" s="16">
        <v>80</v>
      </c>
      <c r="M6" s="16">
        <v>112</v>
      </c>
    </row>
    <row r="7">
      <c r="A7" t="inlineStr">
        <is>
          <t xml:space="preserve">Dépense moyenne en cuisine par couvert</t>
        </is>
      </c>
      <c r="B7" s="12">
        <v>22</v>
      </c>
      <c r="C7" s="12">
        <v>22</v>
      </c>
      <c r="D7" s="12">
        <v>22</v>
      </c>
      <c r="E7" s="12">
        <v>22</v>
      </c>
      <c r="F7" s="12">
        <v>22</v>
      </c>
      <c r="G7" s="12">
        <v>22</v>
      </c>
      <c r="H7" s="12">
        <v>22</v>
      </c>
      <c r="I7" s="12">
        <v>22</v>
      </c>
      <c r="J7" s="12">
        <v>23</v>
      </c>
      <c r="K7" s="12">
        <v>23</v>
      </c>
      <c r="L7" s="12">
        <v>23</v>
      </c>
      <c r="M7" s="12">
        <v>24</v>
      </c>
    </row>
    <row r="8">
      <c r="A8" t="inlineStr">
        <is>
          <t xml:space="preserve">Dépense moyenne en boissons par couvert</t>
        </is>
      </c>
      <c r="B8" s="12">
        <v>8</v>
      </c>
      <c r="C8" s="12">
        <v>8</v>
      </c>
      <c r="D8" s="12">
        <v>8</v>
      </c>
      <c r="E8" s="12">
        <v>8.5</v>
      </c>
      <c r="F8" s="12">
        <v>8.5</v>
      </c>
      <c r="G8" s="12">
        <v>9</v>
      </c>
      <c r="H8" s="12">
        <v>9.5</v>
      </c>
      <c r="I8" s="12">
        <v>9.5</v>
      </c>
      <c r="J8" s="12">
        <v>9</v>
      </c>
      <c r="K8" s="12">
        <v>8.5</v>
      </c>
      <c r="L8" s="12">
        <v>8.5</v>
      </c>
      <c r="M8" s="12">
        <v>11</v>
      </c>
    </row>
    <row r="9">
      <c r="A9" t="inlineStr">
        <is>
          <t xml:space="preserve">Autres ventes (événements, boutique)</t>
        </is>
      </c>
      <c r="B9" s="7">
        <v>0</v>
      </c>
      <c r="C9" s="7">
        <v>600</v>
      </c>
      <c r="D9" s="7">
        <v>0</v>
      </c>
      <c r="E9" s="7">
        <v>800</v>
      </c>
      <c r="F9" s="7">
        <v>1200</v>
      </c>
      <c r="G9" s="7">
        <v>1500</v>
      </c>
      <c r="H9" s="7">
        <v>1500</v>
      </c>
      <c r="I9" s="7">
        <v>800</v>
      </c>
      <c r="J9" s="7">
        <v>1200</v>
      </c>
      <c r="K9" s="7">
        <v>800</v>
      </c>
      <c r="L9" s="7">
        <v>1500</v>
      </c>
      <c r="M9" s="7">
        <v>4500</v>
      </c>
      <c r="N9" s="6">
        <f>SUM(B9:M9)</f>
        <v>14400</v>
      </c>
    </row>
    <row r="11">
      <c r="A11" s="1" t="inlineStr">
        <is>
          <t xml:space="preserve">Taux</t>
        </is>
      </c>
      <c r="B11" s="1" t="inlineStr">
        <is>
          <t xml:space="preserve">Valeur</t>
        </is>
      </c>
    </row>
    <row r="12">
      <c r="A12" t="inlineStr">
        <is>
          <t xml:space="preserve">Coût matières cuisine, % des ventes cuisine</t>
        </is>
      </c>
      <c r="B12" s="9">
        <v>0.31</v>
      </c>
    </row>
    <row r="13">
      <c r="A13" t="inlineStr">
        <is>
          <t xml:space="preserve">Coût matières boissons, % des ventes boissons</t>
        </is>
      </c>
      <c r="B13" s="9">
        <v>0.25</v>
      </c>
    </row>
    <row r="14">
      <c r="A14" t="inlineStr">
        <is>
          <t xml:space="preserve">Charges sociales et avantages, % des salaires</t>
        </is>
      </c>
      <c r="B14" s="9">
        <v>0.2</v>
      </c>
    </row>
    <row r="15">
      <c r="A15" t="inlineStr">
        <is>
          <t xml:space="preserve">Frais de carte bancaire, % du CA total</t>
        </is>
      </c>
      <c r="B15" s="9">
        <v>0.016</v>
      </c>
    </row>
  </sheetData>
  <pageMargins left="0.4" right="0.4" top="0.5" bottom="0.5" header="0.3" footer="0.3"/>
  <pageSetup orientation="landscape" fitToWidth="1" fitToHeight="0"/>
</worksheet>
</file>

<file path=xl/worksheets/sheet3.xml><?xml version="1.0" encoding="utf-8"?>
<worksheet xmlns="http://schemas.openxmlformats.org/spreadsheetml/2006/main" xmlns:r="http://schemas.openxmlformats.org/officeDocument/2006/relationships">
  <sheetPr>
    <pageSetUpPr fitToPage="1"/>
  </sheetPr>
  <sheetViews>
    <sheetView workbookViewId="0" showGridLines="0">
      <pane xSplit="1" ySplit="7" topLeftCell="B8" activePane="bottomRight" state="frozen"/>
    </sheetView>
  </sheetViews>
  <sheetFormatPr defaultRowHeight="15"/>
  <cols>
    <col min="1" max="1" width="40" customWidth="1"/>
    <col min="2" max="2" width="14" customWidth="1"/>
    <col min="3" max="3" width="14" customWidth="1"/>
    <col min="4" max="4" width="14" customWidth="1"/>
    <col min="5" max="5" width="13" customWidth="1"/>
  </cols>
  <sheetData>
    <row r="1" ht="24" customHeight="1">
      <c r="A1" s="4" t="inlineStr">
        <is>
          <t xml:space="preserve">Budget vs réel</t>
        </is>
      </c>
    </row>
    <row r="2">
      <c r="A2" s="5" t="inlineStr">
        <is>
          <t xml:space="preserve">Saisissez dans la colonne jaune les chiffres réels du mois, tirés de votre compte de résultat. Sur un poste de charge, un écart positif signifie que vous avez dépensé plus que prévu.</t>
        </is>
      </c>
    </row>
    <row r="4">
      <c r="A4" s="3" t="inlineStr">
        <is>
          <t xml:space="preserve">Numéro du mois (1 à 12)</t>
        </is>
      </c>
      <c r="B4" s="16">
        <v>1</v>
      </c>
    </row>
    <row r="5">
      <c r="A5" s="3" t="inlineStr">
        <is>
          <t xml:space="preserve">Mois</t>
        </is>
      </c>
      <c r="B5" s="3" t="str">
        <f>INDEX('Budget'!$B$4:$M$4,$B$4)</f>
        <v>Janv.</v>
      </c>
    </row>
    <row r="7">
      <c r="A7" s="1" t="inlineStr">
        <is>
          <t xml:space="preserve">Poste</t>
        </is>
      </c>
      <c r="B7" s="1" t="inlineStr">
        <is>
          <t xml:space="preserve">Budget</t>
        </is>
      </c>
      <c r="C7" s="1" t="inlineStr">
        <is>
          <t xml:space="preserve">Réel</t>
        </is>
      </c>
      <c r="D7" s="1" t="inlineStr">
        <is>
          <t xml:space="preserve">Écart</t>
        </is>
      </c>
      <c r="E7" s="1" t="inlineStr">
        <is>
          <t xml:space="preserve">Écart %</t>
        </is>
      </c>
    </row>
    <row r="8">
      <c r="A8" t="inlineStr">
        <is>
          <t xml:space="preserve">Couverts</t>
        </is>
      </c>
      <c r="B8" s="15">
        <f>INDEX('Budget'!$B$5:$M$5,$B$4)</f>
        <v>1820</v>
      </c>
      <c r="C8" s="16"/>
      <c r="D8" s="15" t="str">
        <f>IF(C8="","",C8-B8)</f>
        <v/>
      </c>
      <c r="E8" s="8" t="str">
        <f>IF(OR(C8="",B8=0),"",(C8-B8)/ABS(B8))</f>
        <v/>
      </c>
    </row>
    <row r="9" ht="20" customHeight="1">
      <c r="A9" s="11" t="inlineStr">
        <is>
          <t xml:space="preserve">Ventes</t>
        </is>
      </c>
    </row>
    <row r="10">
      <c r="A10" t="inlineStr">
        <is>
          <t xml:space="preserve">Ventes cuisine</t>
        </is>
      </c>
      <c r="B10" s="6">
        <f>INDEX('Budget'!$B$7:$M$7,$B$4)</f>
        <v>40040</v>
      </c>
      <c r="C10" s="7"/>
      <c r="D10" s="6" t="str">
        <f>IF(C10="","",C10-B10)</f>
        <v/>
      </c>
      <c r="E10" s="8" t="str">
        <f>IF(OR(C10="",B10=0),"",(C10-B10)/ABS(B10))</f>
        <v/>
      </c>
    </row>
    <row r="11">
      <c r="A11" t="inlineStr">
        <is>
          <t xml:space="preserve">Ventes boissons</t>
        </is>
      </c>
      <c r="B11" s="6">
        <f>INDEX('Budget'!$B$8:$M$8,$B$4)</f>
        <v>14560</v>
      </c>
      <c r="C11" s="7"/>
      <c r="D11" s="6" t="str">
        <f>IF(C11="","",C11-B11)</f>
        <v/>
      </c>
      <c r="E11" s="8" t="str">
        <f>IF(OR(C11="",B11=0),"",(C11-B11)/ABS(B11))</f>
        <v/>
      </c>
    </row>
    <row r="12">
      <c r="A12" t="inlineStr">
        <is>
          <t xml:space="preserve">Autres ventes (événements, boutique)</t>
        </is>
      </c>
      <c r="B12" s="6">
        <f>INDEX('Budget'!$B$9:$M$9,$B$4)</f>
        <v>0</v>
      </c>
      <c r="C12" s="7"/>
      <c r="D12" s="6" t="str">
        <f>IF(C12="","",C12-B12)</f>
        <v/>
      </c>
      <c r="E12" s="8" t="str">
        <f>IF(OR(C12="",B12=0),"",(C12-B12)/ABS(B12))</f>
        <v/>
      </c>
    </row>
    <row r="13">
      <c r="A13" s="3" t="inlineStr">
        <is>
          <t xml:space="preserve">Chiffre d’affaires total</t>
        </is>
      </c>
      <c r="B13" s="10">
        <f>INDEX('Budget'!$B$10:$M$10,$B$4)</f>
        <v>54600</v>
      </c>
      <c r="C13" s="10" t="str">
        <f>IF(COUNT(C8,C10,C11,C12,C15,C16,C20,C21,C22,C23,C27,C28,C29,C30,C31,C32,C33,C34,C37,C38,C39,C42,C43)=0,"",N(C10)+N(C11)+N(C12))</f>
        <v/>
      </c>
      <c r="D13" s="10" t="str">
        <f>IF(C13="","",C13-B13)</f>
        <v/>
      </c>
      <c r="E13" s="14" t="str">
        <f>IF(OR(C13="",B13=0),"",(C13-B13)/ABS(B13))</f>
        <v/>
      </c>
    </row>
    <row r="14" ht="20" customHeight="1">
      <c r="A14" s="11" t="inlineStr">
        <is>
          <t xml:space="preserve">Coût matières</t>
        </is>
      </c>
    </row>
    <row r="15">
      <c r="A15" t="inlineStr">
        <is>
          <t xml:space="preserve">Coût matières cuisine</t>
        </is>
      </c>
      <c r="B15" s="6">
        <f>INDEX('Budget'!$B$12:$M$12,$B$4)</f>
        <v>12412.4</v>
      </c>
      <c r="C15" s="7"/>
      <c r="D15" s="6" t="str">
        <f>IF(C15="","",C15-B15)</f>
        <v/>
      </c>
      <c r="E15" s="8" t="str">
        <f>IF(OR(C15="",B15=0),"",(C15-B15)/ABS(B15))</f>
        <v/>
      </c>
    </row>
    <row r="16">
      <c r="A16" t="inlineStr">
        <is>
          <t xml:space="preserve">Coût matières boissons</t>
        </is>
      </c>
      <c r="B16" s="6">
        <f>INDEX('Budget'!$B$13:$M$13,$B$4)</f>
        <v>3640</v>
      </c>
      <c r="C16" s="7"/>
      <c r="D16" s="6" t="str">
        <f>IF(C16="","",C16-B16)</f>
        <v/>
      </c>
      <c r="E16" s="8" t="str">
        <f>IF(OR(C16="",B16=0),"",(C16-B16)/ABS(B16))</f>
        <v/>
      </c>
    </row>
    <row r="17">
      <c r="A17" s="3" t="inlineStr">
        <is>
          <t xml:space="preserve">Coût matières total</t>
        </is>
      </c>
      <c r="B17" s="10">
        <f>INDEX('Budget'!$B$14:$M$14,$B$4)</f>
        <v>16052.4</v>
      </c>
      <c r="C17" s="10" t="str">
        <f>IF(COUNT(C8,C10,C11,C12,C15,C16,C20,C21,C22,C23,C27,C28,C29,C30,C31,C32,C33,C34,C37,C38,C39,C42,C43)=0,"",N(C15)+N(C16))</f>
        <v/>
      </c>
      <c r="D17" s="10" t="str">
        <f>IF(C17="","",C17-B17)</f>
        <v/>
      </c>
      <c r="E17" s="14" t="str">
        <f>IF(OR(C17="",B17=0),"",(C17-B17)/ABS(B17))</f>
        <v/>
      </c>
    </row>
    <row r="18">
      <c r="A18" s="3" t="inlineStr">
        <is>
          <t xml:space="preserve">Marge brute</t>
        </is>
      </c>
      <c r="B18" s="10">
        <f>INDEX('Budget'!$B$15:$M$15,$B$4)</f>
        <v>38547.6</v>
      </c>
      <c r="C18" s="10" t="str">
        <f>IF(COUNT(C8,C10,C11,C12,C15,C16,C20,C21,C22,C23,C27,C28,C29,C30,C31,C32,C33,C34,C37,C38,C39,C42,C43)=0,"",N(C13)-N(C17))</f>
        <v/>
      </c>
      <c r="D18" s="10" t="str">
        <f>IF(C18="","",C18-B18)</f>
        <v/>
      </c>
      <c r="E18" s="14" t="str">
        <f>IF(OR(C18="",B18=0),"",(C18-B18)/ABS(B18))</f>
        <v/>
      </c>
    </row>
    <row r="19" ht="20" customHeight="1">
      <c r="A19" s="11" t="inlineStr">
        <is>
          <t xml:space="preserve">Personnel</t>
        </is>
      </c>
    </row>
    <row r="20">
      <c r="A20" t="inlineStr">
        <is>
          <t xml:space="preserve">Salaires cuisine</t>
        </is>
      </c>
      <c r="B20" s="6">
        <f>INDEX('Budget'!$B$17:$M$17,$B$4)</f>
        <v>9400</v>
      </c>
      <c r="C20" s="7"/>
      <c r="D20" s="6" t="str">
        <f>IF(C20="","",C20-B20)</f>
        <v/>
      </c>
      <c r="E20" s="8" t="str">
        <f>IF(OR(C20="",B20=0),"",(C20-B20)/ABS(B20))</f>
        <v/>
      </c>
    </row>
    <row r="21">
      <c r="A21" t="inlineStr">
        <is>
          <t xml:space="preserve">Salaires salle</t>
        </is>
      </c>
      <c r="B21" s="6">
        <f>INDEX('Budget'!$B$18:$M$18,$B$4)</f>
        <v>8200</v>
      </c>
      <c r="C21" s="7"/>
      <c r="D21" s="6" t="str">
        <f>IF(C21="","",C21-B21)</f>
        <v/>
      </c>
      <c r="E21" s="8" t="str">
        <f>IF(OR(C21="",B21=0),"",(C21-B21)/ABS(B21))</f>
        <v/>
      </c>
    </row>
    <row r="22">
      <c r="A22" t="inlineStr">
        <is>
          <t xml:space="preserve">Salaires encadrement</t>
        </is>
      </c>
      <c r="B22" s="6">
        <f>INDEX('Budget'!$B$19:$M$19,$B$4)</f>
        <v>4800</v>
      </c>
      <c r="C22" s="7"/>
      <c r="D22" s="6" t="str">
        <f>IF(C22="","",C22-B22)</f>
        <v/>
      </c>
      <c r="E22" s="8" t="str">
        <f>IF(OR(C22="",B22=0),"",(C22-B22)/ABS(B22))</f>
        <v/>
      </c>
    </row>
    <row r="23">
      <c r="A23" t="inlineStr">
        <is>
          <t xml:space="preserve">Charges sociales et avantages</t>
        </is>
      </c>
      <c r="B23" s="6">
        <f>INDEX('Budget'!$B$20:$M$20,$B$4)</f>
        <v>4480</v>
      </c>
      <c r="C23" s="7"/>
      <c r="D23" s="6" t="str">
        <f>IF(C23="","",C23-B23)</f>
        <v/>
      </c>
      <c r="E23" s="8" t="str">
        <f>IF(OR(C23="",B23=0),"",(C23-B23)/ABS(B23))</f>
        <v/>
      </c>
    </row>
    <row r="24">
      <c r="A24" s="3" t="inlineStr">
        <is>
          <t xml:space="preserve">Personnel total</t>
        </is>
      </c>
      <c r="B24" s="10">
        <f>INDEX('Budget'!$B$21:$M$21,$B$4)</f>
        <v>26880</v>
      </c>
      <c r="C24" s="10" t="str">
        <f>IF(COUNT(C8,C10,C11,C12,C15,C16,C20,C21,C22,C23,C27,C28,C29,C30,C31,C32,C33,C34,C37,C38,C39,C42,C43)=0,"",N(C20)+N(C21)+N(C22)+N(C23))</f>
        <v/>
      </c>
      <c r="D24" s="10" t="str">
        <f>IF(C24="","",C24-B24)</f>
        <v/>
      </c>
      <c r="E24" s="14" t="str">
        <f>IF(OR(C24="",B24=0),"",(C24-B24)/ABS(B24))</f>
        <v/>
      </c>
    </row>
    <row r="25">
      <c r="A25" s="3" t="inlineStr">
        <is>
          <t xml:space="preserve">Prime cost (coût matières + personnel)</t>
        </is>
      </c>
      <c r="B25" s="10">
        <f>INDEX('Budget'!$B$22:$M$22,$B$4)</f>
        <v>42932.4</v>
      </c>
      <c r="C25" s="10" t="str">
        <f>IF(COUNT(C8,C10,C11,C12,C15,C16,C20,C21,C22,C23,C27,C28,C29,C30,C31,C32,C33,C34,C37,C38,C39,C42,C43)=0,"",N(C17)+N(C24))</f>
        <v/>
      </c>
      <c r="D25" s="10" t="str">
        <f>IF(C25="","",C25-B25)</f>
        <v/>
      </c>
      <c r="E25" s="14" t="str">
        <f>IF(OR(C25="",B25=0),"",(C25-B25)/ABS(B25))</f>
        <v/>
      </c>
    </row>
    <row r="26" ht="20" customHeight="1">
      <c r="A26" s="11" t="inlineStr">
        <is>
          <t xml:space="preserve">Frais d’exploitation</t>
        </is>
      </c>
    </row>
    <row r="27">
      <c r="A27" t="inlineStr">
        <is>
          <t xml:space="preserve">Frais de carte bancaire</t>
        </is>
      </c>
      <c r="B27" s="6">
        <f>INDEX('Budget'!$B$24:$M$24,$B$4)</f>
        <v>873.6</v>
      </c>
      <c r="C27" s="7"/>
      <c r="D27" s="6" t="str">
        <f>IF(C27="","",C27-B27)</f>
        <v/>
      </c>
      <c r="E27" s="8" t="str">
        <f>IF(OR(C27="",B27=0),"",(C27-B27)/ABS(B27))</f>
        <v/>
      </c>
    </row>
    <row r="28">
      <c r="A28" t="inlineStr">
        <is>
          <t xml:space="preserve">Marketing</t>
        </is>
      </c>
      <c r="B28" s="6">
        <f>INDEX('Budget'!$B$25:$M$25,$B$4)</f>
        <v>1100</v>
      </c>
      <c r="C28" s="7"/>
      <c r="D28" s="6" t="str">
        <f>IF(C28="","",C28-B28)</f>
        <v/>
      </c>
      <c r="E28" s="8" t="str">
        <f>IF(OR(C28="",B28=0),"",(C28-B28)/ABS(B28))</f>
        <v/>
      </c>
    </row>
    <row r="29">
      <c r="A29" t="inlineStr">
        <is>
          <t xml:space="preserve">Entretien et réparations</t>
        </is>
      </c>
      <c r="B29" s="6">
        <f>INDEX('Budget'!$B$26:$M$26,$B$4)</f>
        <v>850</v>
      </c>
      <c r="C29" s="7"/>
      <c r="D29" s="6" t="str">
        <f>IF(C29="","",C29-B29)</f>
        <v/>
      </c>
      <c r="E29" s="8" t="str">
        <f>IF(OR(C29="",B29=0),"",(C29-B29)/ABS(B29))</f>
        <v/>
      </c>
    </row>
    <row r="30">
      <c r="A30" t="inlineStr">
        <is>
          <t xml:space="preserve">Petit matériel et fournitures</t>
        </is>
      </c>
      <c r="B30" s="6">
        <f>INDEX('Budget'!$B$27:$M$27,$B$4)</f>
        <v>600</v>
      </c>
      <c r="C30" s="7"/>
      <c r="D30" s="6" t="str">
        <f>IF(C30="","",C30-B30)</f>
        <v/>
      </c>
      <c r="E30" s="8" t="str">
        <f>IF(OR(C30="",B30=0),"",(C30-B30)/ABS(B30))</f>
        <v/>
      </c>
    </row>
    <row r="31">
      <c r="A31" t="inlineStr">
        <is>
          <t xml:space="preserve">Nettoyage et blanchisserie</t>
        </is>
      </c>
      <c r="B31" s="6">
        <f>INDEX('Budget'!$B$28:$M$28,$B$4)</f>
        <v>850</v>
      </c>
      <c r="C31" s="7"/>
      <c r="D31" s="6" t="str">
        <f>IF(C31="","",C31-B31)</f>
        <v/>
      </c>
      <c r="E31" s="8" t="str">
        <f>IF(OR(C31="",B31=0),"",(C31-B31)/ABS(B31))</f>
        <v/>
      </c>
    </row>
    <row r="32">
      <c r="A32" t="inlineStr">
        <is>
          <t xml:space="preserve">Énergie et eau</t>
        </is>
      </c>
      <c r="B32" s="6">
        <f>INDEX('Budget'!$B$29:$M$29,$B$4)</f>
        <v>2700</v>
      </c>
      <c r="C32" s="7"/>
      <c r="D32" s="6" t="str">
        <f>IF(C32="","",C32-B32)</f>
        <v/>
      </c>
      <c r="E32" s="8" t="str">
        <f>IF(OR(C32="",B32=0),"",(C32-B32)/ABS(B32))</f>
        <v/>
      </c>
    </row>
    <row r="33">
      <c r="A33" t="inlineStr">
        <is>
          <t xml:space="preserve">Logiciels et abonnements</t>
        </is>
      </c>
      <c r="B33" s="6">
        <f>INDEX('Budget'!$B$30:$M$30,$B$4)</f>
        <v>600</v>
      </c>
      <c r="C33" s="7"/>
      <c r="D33" s="6" t="str">
        <f>IF(C33="","",C33-B33)</f>
        <v/>
      </c>
      <c r="E33" s="8" t="str">
        <f>IF(OR(C33="",B33=0),"",(C33-B33)/ABS(B33))</f>
        <v/>
      </c>
    </row>
    <row r="34">
      <c r="A34" t="inlineStr">
        <is>
          <t xml:space="preserve">Comptabilité et juridique</t>
        </is>
      </c>
      <c r="B34" s="6">
        <f>INDEX('Budget'!$B$31:$M$31,$B$4)</f>
        <v>750</v>
      </c>
      <c r="C34" s="7"/>
      <c r="D34" s="6" t="str">
        <f>IF(C34="","",C34-B34)</f>
        <v/>
      </c>
      <c r="E34" s="8" t="str">
        <f>IF(OR(C34="",B34=0),"",(C34-B34)/ABS(B34))</f>
        <v/>
      </c>
    </row>
    <row r="35">
      <c r="A35" s="3" t="inlineStr">
        <is>
          <t xml:space="preserve">Frais d’exploitation totaux</t>
        </is>
      </c>
      <c r="B35" s="10">
        <f>INDEX('Budget'!$B$32:$M$32,$B$4)</f>
        <v>8323.6</v>
      </c>
      <c r="C35" s="10" t="str">
        <f>IF(COUNT(C8,C10,C11,C12,C15,C16,C20,C21,C22,C23,C27,C28,C29,C30,C31,C32,C33,C34,C37,C38,C39,C42,C43)=0,"",N(C27)+N(C28)+N(C29)+N(C30)+N(C31)+N(C32)+N(C33)+N(C34))</f>
        <v/>
      </c>
      <c r="D35" s="10" t="str">
        <f>IF(C35="","",C35-B35)</f>
        <v/>
      </c>
      <c r="E35" s="14" t="str">
        <f>IF(OR(C35="",B35=0),"",(C35-B35)/ABS(B35))</f>
        <v/>
      </c>
    </row>
    <row r="36" ht="20" customHeight="1">
      <c r="A36" s="11" t="inlineStr">
        <is>
          <t xml:space="preserve">Locaux</t>
        </is>
      </c>
    </row>
    <row r="37">
      <c r="A37" t="inlineStr">
        <is>
          <t xml:space="preserve">Loyer</t>
        </is>
      </c>
      <c r="B37" s="6">
        <f>INDEX('Budget'!$B$34:$M$34,$B$4)</f>
        <v>6800</v>
      </c>
      <c r="C37" s="7"/>
      <c r="D37" s="6" t="str">
        <f>IF(C37="","",C37-B37)</f>
        <v/>
      </c>
      <c r="E37" s="8" t="str">
        <f>IF(OR(C37="",B37=0),"",(C37-B37)/ABS(B37))</f>
        <v/>
      </c>
    </row>
    <row r="38">
      <c r="A38" t="inlineStr">
        <is>
          <t xml:space="preserve">Taxe foncière et charges</t>
        </is>
      </c>
      <c r="B38" s="6">
        <f>INDEX('Budget'!$B$35:$M$35,$B$4)</f>
        <v>950</v>
      </c>
      <c r="C38" s="7"/>
      <c r="D38" s="6" t="str">
        <f>IF(C38="","",C38-B38)</f>
        <v/>
      </c>
      <c r="E38" s="8" t="str">
        <f>IF(OR(C38="",B38=0),"",(C38-B38)/ABS(B38))</f>
        <v/>
      </c>
    </row>
    <row r="39">
      <c r="A39" t="inlineStr">
        <is>
          <t xml:space="preserve">Assurances</t>
        </is>
      </c>
      <c r="B39" s="6">
        <f>INDEX('Budget'!$B$36:$M$36,$B$4)</f>
        <v>450</v>
      </c>
      <c r="C39" s="7"/>
      <c r="D39" s="6" t="str">
        <f>IF(C39="","",C39-B39)</f>
        <v/>
      </c>
      <c r="E39" s="8" t="str">
        <f>IF(OR(C39="",B39=0),"",(C39-B39)/ABS(B39))</f>
        <v/>
      </c>
    </row>
    <row r="40">
      <c r="A40" s="3" t="inlineStr">
        <is>
          <t xml:space="preserve">Locaux total</t>
        </is>
      </c>
      <c r="B40" s="10">
        <f>INDEX('Budget'!$B$37:$M$37,$B$4)</f>
        <v>8200</v>
      </c>
      <c r="C40" s="10" t="str">
        <f>IF(COUNT(C8,C10,C11,C12,C15,C16,C20,C21,C22,C23,C27,C28,C29,C30,C31,C32,C33,C34,C37,C38,C39,C42,C43)=0,"",N(C37)+N(C38)+N(C39))</f>
        <v/>
      </c>
      <c r="D40" s="10" t="str">
        <f>IF(C40="","",C40-B40)</f>
        <v/>
      </c>
      <c r="E40" s="14" t="str">
        <f>IF(OR(C40="",B40=0),"",(C40-B40)/ABS(B40))</f>
        <v/>
      </c>
    </row>
    <row r="41">
      <c r="A41" s="3" t="inlineStr">
        <is>
          <t xml:space="preserve">Résultat d’exploitation (EBITDA)</t>
        </is>
      </c>
      <c r="B41" s="10">
        <f>INDEX('Budget'!$B$38:$M$38,$B$4)</f>
        <v>-4856</v>
      </c>
      <c r="C41" s="10" t="str">
        <f>IF(COUNT(C8,C10,C11,C12,C15,C16,C20,C21,C22,C23,C27,C28,C29,C30,C31,C32,C33,C34,C37,C38,C39,C42,C43)=0,"",N(C18)-N(C24)-N(C35)-N(C40))</f>
        <v/>
      </c>
      <c r="D41" s="10" t="str">
        <f>IF(C41="","",C41-B41)</f>
        <v/>
      </c>
      <c r="E41" s="14" t="str">
        <f>IF(OR(C41="",B41=0),"",(C41-B41)/ABS(B41))</f>
        <v/>
      </c>
    </row>
    <row r="42">
      <c r="A42" t="inlineStr">
        <is>
          <t xml:space="preserve">Amortissements</t>
        </is>
      </c>
      <c r="B42" s="6">
        <f>INDEX('Budget'!$B$39:$M$39,$B$4)</f>
        <v>1500</v>
      </c>
      <c r="C42" s="7"/>
      <c r="D42" s="6" t="str">
        <f>IF(C42="","",C42-B42)</f>
        <v/>
      </c>
      <c r="E42" s="8" t="str">
        <f>IF(OR(C42="",B42=0),"",(C42-B42)/ABS(B42))</f>
        <v/>
      </c>
    </row>
    <row r="43">
      <c r="A43" t="inlineStr">
        <is>
          <t xml:space="preserve">Intérêts d’emprunt</t>
        </is>
      </c>
      <c r="B43" s="6">
        <f>INDEX('Budget'!$B$40:$M$40,$B$4)</f>
        <v>450</v>
      </c>
      <c r="C43" s="7"/>
      <c r="D43" s="6" t="str">
        <f>IF(C43="","",C43-B43)</f>
        <v/>
      </c>
      <c r="E43" s="8" t="str">
        <f>IF(OR(C43="",B43=0),"",(C43-B43)/ABS(B43))</f>
        <v/>
      </c>
    </row>
    <row r="44">
      <c r="A44" s="3" t="inlineStr">
        <is>
          <t xml:space="preserve">Résultat avant impôt</t>
        </is>
      </c>
      <c r="B44" s="10">
        <f>INDEX('Budget'!$B$41:$M$41,$B$4)</f>
        <v>-6806</v>
      </c>
      <c r="C44" s="10" t="str">
        <f>IF(COUNT(C8,C10,C11,C12,C15,C16,C20,C21,C22,C23,C27,C28,C29,C30,C31,C32,C33,C34,C37,C38,C39,C42,C43)=0,"",N(C41)-N(C42)-N(C43))</f>
        <v/>
      </c>
      <c r="D44" s="10" t="str">
        <f>IF(C44="","",C44-B44)</f>
        <v/>
      </c>
      <c r="E44" s="14" t="str">
        <f>IF(OR(C44="",B44=0),"",(C44-B44)/ABS(B44))</f>
        <v/>
      </c>
    </row>
    <row r="45" ht="20" customHeight="1">
      <c r="A45" s="11" t="inlineStr">
        <is>
          <t xml:space="preserve">Ratios clés</t>
        </is>
      </c>
    </row>
    <row r="46">
      <c r="A46" t="inlineStr">
        <is>
          <t xml:space="preserve">Coût matières cuisine %</t>
        </is>
      </c>
      <c r="B46" s="8">
        <f>INDEX('Budget'!$B$43:$M$43,$B$4)</f>
        <v>0.31</v>
      </c>
      <c r="C46" s="8" t="str">
        <f>IF(OR(C15="",N(C10)=0),"",C15/C10)</f>
        <v/>
      </c>
      <c r="D46" s="8" t="str">
        <f>IF(C46="","",C46-B46)</f>
        <v/>
      </c>
    </row>
    <row r="47">
      <c r="A47" t="inlineStr">
        <is>
          <t xml:space="preserve">Coût matières boissons %</t>
        </is>
      </c>
      <c r="B47" s="8">
        <f>INDEX('Budget'!$B$44:$M$44,$B$4)</f>
        <v>0.25</v>
      </c>
      <c r="C47" s="8" t="str">
        <f>IF(OR(C16="",N(C11)=0),"",C16/C11)</f>
        <v/>
      </c>
      <c r="D47" s="8" t="str">
        <f>IF(C47="","",C47-B47)</f>
        <v/>
      </c>
    </row>
    <row r="48">
      <c r="A48" t="inlineStr">
        <is>
          <t xml:space="preserve">Coût du personnel %</t>
        </is>
      </c>
      <c r="B48" s="8">
        <f>INDEX('Budget'!$B$45:$M$45,$B$4)</f>
        <v>0.492308</v>
      </c>
      <c r="C48" s="8" t="str">
        <f>IF(OR(C24="",N(C13)=0),"",C24/C13)</f>
        <v/>
      </c>
      <c r="D48" s="8" t="str">
        <f>IF(C48="","",C48-B48)</f>
        <v/>
      </c>
    </row>
    <row r="49">
      <c r="A49" t="inlineStr">
        <is>
          <t xml:space="preserve">Prime cost %</t>
        </is>
      </c>
      <c r="B49" s="8">
        <f>INDEX('Budget'!$B$46:$M$46,$B$4)</f>
        <v>0.786308</v>
      </c>
      <c r="C49" s="8" t="str">
        <f>IF(OR(C25="",N(C13)=0),"",C25/C13)</f>
        <v/>
      </c>
      <c r="D49" s="8" t="str">
        <f>IF(C49="","",C49-B49)</f>
        <v/>
      </c>
    </row>
    <row r="50">
      <c r="A50" t="inlineStr">
        <is>
          <t xml:space="preserve">Ticket moyen par couvert</t>
        </is>
      </c>
      <c r="B50" s="13">
        <f>INDEX('Budget'!$B$47:$M$47,$B$4)</f>
        <v>30</v>
      </c>
      <c r="C50" s="13" t="str">
        <f>IF(OR(C13="",N(C8)=0),"",C13/C8)</f>
        <v/>
      </c>
      <c r="D50" s="13" t="str">
        <f>IF(C50="","",C50-B50)</f>
        <v/>
      </c>
    </row>
    <row r="51">
      <c r="A51" t="inlineStr">
        <is>
          <t xml:space="preserve">Marge nette</t>
        </is>
      </c>
      <c r="B51" s="8">
        <f>INDEX('Budget'!$B$48:$M$48,$B$4)</f>
        <v>-0.124652</v>
      </c>
      <c r="C51" s="8" t="str">
        <f>IF(OR(C44="",N(C13)=0),"",C44/C13)</f>
        <v/>
      </c>
      <c r="D51" s="8" t="str">
        <f>IF(C51="","",C51-B51)</f>
        <v/>
      </c>
    </row>
  </sheetData>
  <pageMargins left="0.4" right="0.4" top="0.5" bottom="0.5" header="0.3" footer="0.3"/>
  <pageSetup orientation="portrait" fitToWidth="1" fitToHeight="0"/>
</worksheet>
</file>

<file path=xl/worksheets/sheet4.xml><?xml version="1.0" encoding="utf-8"?>
<worksheet xmlns="http://schemas.openxmlformats.org/spreadsheetml/2006/main" xmlns:r="http://schemas.openxmlformats.org/officeDocument/2006/relationships">
  <sheetPr>
    <pageSetUpPr fitToPage="1"/>
  </sheetPr>
  <sheetViews>
    <sheetView workbookViewId="0" showGridLines="0"/>
  </sheetViews>
  <sheetFormatPr defaultRowHeight="15"/>
  <cols>
    <col min="1" max="1" width="120" customWidth="1"/>
  </cols>
  <sheetData>
    <row r="1" ht="24" customHeight="1">
      <c r="A1" s="4" t="inlineStr">
        <is>
          <t xml:space="preserve">Budget prévisionnel de restaurant</t>
        </is>
      </c>
    </row>
    <row r="2">
      <c r="A2" s="2" t="inlineStr">
        <is>
          <t xml:space="preserve">Un budget d’exploitation sur 12 mois pour un restaurant indépendant, rempli avec un exemple : 70 couverts, ouvert six jours sur sept, cuisine et bar.</t>
        </is>
      </c>
    </row>
    <row r="3"/>
    <row r="4">
      <c r="A4" s="3" t="inlineStr">
        <is>
          <t xml:space="preserve">Les cellules jaunes sont à remplir. Tout le reste se calcule.</t>
        </is>
      </c>
    </row>
    <row r="5"/>
    <row r="6">
      <c r="A6" s="3" t="inlineStr">
        <is>
          <t xml:space="preserve">Mode d’emploi</t>
        </is>
      </c>
    </row>
    <row r="7">
      <c r="A7" s="2" t="inlineStr">
        <is>
          <t xml:space="preserve">1. Commencez par la feuille Hypothèses : jours d’ouverture, couverts par jour et dépense moyenne par couvert, mois par mois, à partir des rapports de ventes de l’an dernier.</t>
        </is>
      </c>
    </row>
    <row r="8">
      <c r="A8" s="2" t="inlineStr">
        <is>
          <t xml:space="preserve">2. Fixez vos taux de coût : coût matières cuisine et boissons en part de leurs ventes, charges sociales en part des salaires, frais de carte en part du chiffre d’affaires.</t>
        </is>
      </c>
    </row>
    <row r="9">
      <c r="A9" s="2" t="inlineStr">
        <is>
          <t xml:space="preserve">3. Sur la feuille Budget, remplacez les chiffres jaunes par vos salaires, votre loyer et vos frais. Les ventes, le coût matières, les charges sociales et les frais de carte se calculent seuls.</t>
        </is>
      </c>
    </row>
    <row r="10">
      <c r="A10" s="2" t="inlineStr">
        <is>
          <t xml:space="preserve">4. Vérifiez les ratios clés en bas : prime cost, coût du personnel et marge nette. S’ils ne tiennent pas, modifiez le plan maintenant, pas en septembre.</t>
        </is>
      </c>
    </row>
    <row r="11">
      <c r="A11" s="2" t="inlineStr">
        <is>
          <t xml:space="preserve">5. Chaque mois, ouvrez Budget vs réel, indiquez le numéro du mois et saisissez les chiffres réels de votre compte de résultat.</t>
        </is>
      </c>
    </row>
    <row r="12">
      <c r="A12" s="2" t="inlineStr">
        <is>
          <t xml:space="preserve">6. Examinez tout poste qui s’écarte de plus de 5 % ou de quelques centaines du budget, et mettez à jour les mois restants quand un changement est durable.</t>
        </is>
      </c>
    </row>
    <row r="13"/>
    <row r="14">
      <c r="A14" s="5" t="inlineStr">
        <is>
          <t xml:space="preserve">Les chiffres de l’exemple sont illustratifs, pas des références pour votre restaurant. Un outil de planification, pas un conseil fiscal ou comptable.</t>
        </is>
      </c>
    </row>
    <row r="15">
      <c r="A15" s="5" t="inlineStr">
        <is>
          <t xml:space="preserve">Guide complet: https://www.tableview.com/fr/blog/budget-previsionnel-restaurant/</t>
        </is>
      </c>
    </row>
  </sheetData>
  <pageMargins left="0.4" right="0.4" top="0.5" bottom="0.5" header="0.3" footer="0.3"/>
  <pageSetup orientation="portrait" fitToWidth="1" fitToHeight="0"/>
</worksheet>
</file>

<file path=docProps/app.xml><?xml version="1.0" encoding="utf-8"?>
<Properties xmlns="http://schemas.openxmlformats.org/officeDocument/2006/extended-properties">
  <Application>Tableview</Application>
</Properties>
</file>

<file path=docProps/core.xml><?xml version="1.0" encoding="utf-8"?>
<cp:coreProperties xmlns:cp="http://schemas.openxmlformats.org/package/2006/metadata/core-properties" xmlns:dc="http://purl.org/dc/elements/1.1/" xmlns:dcterms="http://purl.org/dc/terms/" xmlns:xsi="http://www.w3.org/2001/XMLSchema-instance">
  <dc:title>Budget prévisionnel de restaurant</dc:title>
  <dc:creator>Tableview</dc:creator>
</cp:coreProperties>
</file>